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C72B" lockStructure="1"/>
  <bookViews>
    <workbookView xWindow="2220" yWindow="-135" windowWidth="15450" windowHeight="7620" tabRatio="634" firstSheet="2" activeTab="2"/>
  </bookViews>
  <sheets>
    <sheet name="NOTES" sheetId="8" state="hidden" r:id="rId1"/>
    <sheet name="Directions for Use" sheetId="6" state="hidden" r:id="rId2"/>
    <sheet name="TLED PAYBACK CALC" sheetId="14" r:id="rId3"/>
    <sheet name="Pull-Down" sheetId="15" state="hidden" r:id="rId4"/>
    <sheet name="TLED Info" sheetId="16" state="hidden" r:id="rId5"/>
    <sheet name="Changes" sheetId="17" state="hidden" r:id="rId6"/>
  </sheets>
  <externalReferences>
    <externalReference r:id="rId7"/>
  </externalReferences>
  <definedNames>
    <definedName name="Ansi">'[1]DropDown Source'!#REF!</definedName>
    <definedName name="Application">'[1]DropDown Source'!#REF!</definedName>
    <definedName name="Base">'[1]DropDown Source'!#REF!</definedName>
    <definedName name="BaseMaterial">'[1]DropDown Source'!#REF!</definedName>
    <definedName name="BeamDescrip">'[1]DropDown Source'!#REF!</definedName>
    <definedName name="BeamDescription">'[1]DropDown Source'!#REF!</definedName>
    <definedName name="BrandCode">'[1]DropDown Source'!#REF!</definedName>
    <definedName name="BrandName">'[1]DropDown Source'!#REF!</definedName>
    <definedName name="Bulb">'[1]DropDown Source'!#REF!</definedName>
    <definedName name="BulbShape">'[1]DropDown Source'!#REF!</definedName>
    <definedName name="Cap">'[1]DropDown Source'!#REF!</definedName>
    <definedName name="CapMaterial">'[1]DropDown Source'!#REF!</definedName>
    <definedName name="CatalogFamily">'[1]DropDown Source'!#REF!</definedName>
    <definedName name="Circuit">'[1]DropDown Source'!#REF!</definedName>
    <definedName name="Coil">'[1]DropDown Source'!#REF!</definedName>
    <definedName name="Color">'[1]DropDown Source'!#REF!</definedName>
    <definedName name="ColorTemp">'[1]DropDown Source'!#REF!</definedName>
    <definedName name="Colour">'[1]DropDown Source'!#REF!</definedName>
    <definedName name="ColourCode">'[1]DropDown Source'!#REF!</definedName>
    <definedName name="COMFOUR">#REF!</definedName>
    <definedName name="comone">#REF!</definedName>
    <definedName name="comthree">#REF!</definedName>
    <definedName name="comtwo">#REF!</definedName>
    <definedName name="Epact">'[1]DropDown Source'!#REF!</definedName>
    <definedName name="EtchFormat">'[1]DropDown Source'!#REF!</definedName>
    <definedName name="exist">#REF!</definedName>
    <definedName name="factors">#REF!</definedName>
    <definedName name="Filament">'[1]DropDown Source'!#REF!</definedName>
    <definedName name="FilaShape">'[1]DropDown Source'!#REF!</definedName>
    <definedName name="Finish">'[1]DropDown Source'!#REF!</definedName>
    <definedName name="FlimsyFormat">'[1]DropDown Source'!#REF!</definedName>
    <definedName name="GasVac">'[1]DropDown Source'!#REF!</definedName>
    <definedName name="HomedepotCoreSku">'[1]DropDown Source'!#REF!</definedName>
    <definedName name="LampSealType">'[1]DropDown Source'!#REF!</definedName>
    <definedName name="LanguageGroup">'[1]DropDown Source'!#REF!</definedName>
    <definedName name="LOOK">#REF!</definedName>
    <definedName name="OperatingPosition">'[1]DropDown Source'!#REF!</definedName>
    <definedName name="OperPos">'[1]DropDown Source'!#REF!</definedName>
    <definedName name="Owner_ID">'[1]DropDown Source'!#REF!</definedName>
    <definedName name="PackingLevelType">'[1]DropDown Source'!#REF!</definedName>
    <definedName name="PackType">'[1]DropDown Source'!#REF!</definedName>
    <definedName name="Plant">'[1]DropDown Source'!#REF!</definedName>
    <definedName name="_xlnm.Print_Area" localSheetId="2">'TLED PAYBACK CALC'!$A$1:$J$37</definedName>
    <definedName name="prop">#REF!</definedName>
    <definedName name="ReflectiveMatl">'[1]DropDown Source'!#REF!</definedName>
    <definedName name="RegionColumn">#REF!</definedName>
    <definedName name="RegionList">#REF!</definedName>
    <definedName name="RegionStart">#REF!</definedName>
    <definedName name="RustColumn">#REF!</definedName>
    <definedName name="SAPBEXdnldView" hidden="1">"4GG57YX3TTIL076TIE2OOI71O"</definedName>
    <definedName name="SAPBEXsysID" hidden="1">"BP5"</definedName>
    <definedName name="SIC">'[1]DropDown Source'!#REF!</definedName>
    <definedName name="SpecDept">'[1]DropDown Source'!#REF!</definedName>
    <definedName name="StateEfcy">'[1]DropDown Source'!#REF!</definedName>
    <definedName name="StdIndCode">'[1]DropDown Source'!#REF!</definedName>
    <definedName name="SysDesc">'[1]DropDown Source'!#REF!</definedName>
    <definedName name="TechClass">'[1]DropDown Source'!#REF!</definedName>
    <definedName name="Vendor">'[1]DropDown Source'!#REF!</definedName>
    <definedName name="Voltage">'[1]DropDown Source'!#REF!</definedName>
    <definedName name="Wattage">'[1]DropDown Source'!#REF!</definedName>
  </definedNames>
  <calcPr calcId="145621"/>
</workbook>
</file>

<file path=xl/calcChain.xml><?xml version="1.0" encoding="utf-8"?>
<calcChain xmlns="http://schemas.openxmlformats.org/spreadsheetml/2006/main">
  <c r="F26" i="14" l="1"/>
  <c r="B10" i="15" l="1"/>
  <c r="C10" i="15"/>
  <c r="D10" i="15"/>
  <c r="G19" i="14"/>
  <c r="F27" i="14" l="1"/>
  <c r="B7" i="15" l="1"/>
  <c r="C7" i="15"/>
  <c r="D7" i="15"/>
  <c r="B8" i="15"/>
  <c r="C8" i="15"/>
  <c r="D8" i="15"/>
  <c r="B9" i="15"/>
  <c r="C9" i="15"/>
  <c r="D9" i="15"/>
  <c r="B5" i="15" l="1"/>
  <c r="C5" i="15"/>
  <c r="D5" i="15"/>
  <c r="B6" i="15"/>
  <c r="C6" i="15"/>
  <c r="D6" i="15"/>
  <c r="C4" i="15"/>
  <c r="D4" i="15"/>
  <c r="B4" i="15"/>
  <c r="G11" i="14"/>
  <c r="C18" i="14" l="1"/>
  <c r="C27" i="14" l="1"/>
  <c r="G23" i="14" l="1"/>
  <c r="N13" i="14" s="1"/>
  <c r="F23" i="14"/>
  <c r="F15" i="14"/>
  <c r="G15" i="14"/>
  <c r="N11" i="14" s="1"/>
  <c r="F22" i="14"/>
  <c r="F18" i="14"/>
  <c r="F14" i="14"/>
  <c r="F10" i="14"/>
  <c r="C13" i="14"/>
  <c r="P10" i="14" s="1"/>
  <c r="N14" i="14" l="1"/>
  <c r="S10" i="14"/>
  <c r="R10" i="14"/>
  <c r="Q10" i="14"/>
  <c r="O10" i="14"/>
  <c r="T11" i="16"/>
  <c r="T12" i="16" s="1"/>
  <c r="T13" i="16" s="1"/>
  <c r="T31" i="16" s="1"/>
  <c r="T32" i="16" s="1"/>
  <c r="T4" i="16"/>
  <c r="T5" i="16" s="1"/>
  <c r="T6" i="16" s="1"/>
  <c r="T7" i="16" s="1"/>
  <c r="T34" i="16" l="1"/>
  <c r="F32" i="16" l="1"/>
  <c r="F33" i="16"/>
  <c r="F34" i="16"/>
  <c r="F35" i="16"/>
  <c r="F36" i="16"/>
  <c r="F37" i="16"/>
  <c r="F38" i="16"/>
  <c r="F39" i="16"/>
  <c r="F31" i="16"/>
  <c r="G9" i="14" l="1"/>
  <c r="G8" i="14"/>
  <c r="G12" i="14" l="1"/>
  <c r="G13" i="14" l="1"/>
  <c r="G20" i="14"/>
  <c r="G21" i="14" s="1"/>
  <c r="G22" i="14" s="1"/>
  <c r="G24" i="14" l="1"/>
  <c r="O13" i="14"/>
  <c r="P13" i="14" s="1"/>
  <c r="Q13" i="14" s="1"/>
  <c r="R13" i="14" s="1"/>
  <c r="S13" i="14" s="1"/>
  <c r="G14" i="14"/>
  <c r="G30" i="14"/>
  <c r="G31" i="14" l="1"/>
  <c r="O11" i="14"/>
  <c r="P11" i="14" s="1"/>
  <c r="G16" i="14"/>
  <c r="O14" i="14" l="1"/>
  <c r="Q11" i="14"/>
  <c r="P14" i="14" l="1"/>
  <c r="Q14" i="14"/>
  <c r="R11" i="14"/>
  <c r="S11" i="14" l="1"/>
  <c r="S14" i="14" s="1"/>
  <c r="R14" i="14"/>
  <c r="N20" i="14" l="1"/>
  <c r="G29" i="14" s="1"/>
  <c r="N21" i="14" l="1"/>
</calcChain>
</file>

<file path=xl/sharedStrings.xml><?xml version="1.0" encoding="utf-8"?>
<sst xmlns="http://schemas.openxmlformats.org/spreadsheetml/2006/main" count="302" uniqueCount="141">
  <si>
    <r>
      <t xml:space="preserve">  </t>
    </r>
    <r>
      <rPr>
        <b/>
        <sz val="23"/>
        <rFont val="Gill Sans MT"/>
        <family val="2"/>
      </rPr>
      <t>Philips Energy Solutions</t>
    </r>
    <r>
      <rPr>
        <sz val="23"/>
        <rFont val="Gill Sans MT"/>
        <family val="2"/>
      </rPr>
      <t xml:space="preserve"> </t>
    </r>
    <r>
      <rPr>
        <sz val="22"/>
        <rFont val="Gill Sans MT"/>
        <family val="2"/>
      </rPr>
      <t>Instant Energy and Environmental Impact Calculator for TLED</t>
    </r>
  </si>
  <si>
    <t>Lamp Type</t>
  </si>
  <si>
    <t>Technology</t>
  </si>
  <si>
    <t>PROF
6NC</t>
  </si>
  <si>
    <t>Ordering Code</t>
  </si>
  <si>
    <t>Volts</t>
  </si>
  <si>
    <t>Base</t>
  </si>
  <si>
    <t>Rated Avg Life (Hrs)</t>
  </si>
  <si>
    <t>CRI</t>
  </si>
  <si>
    <t>Color Temp (K)</t>
  </si>
  <si>
    <t>MOL (in)</t>
  </si>
  <si>
    <t>Lumens</t>
  </si>
  <si>
    <t>TLED</t>
  </si>
  <si>
    <t>G13</t>
  </si>
  <si>
    <t>InstantFit</t>
  </si>
  <si>
    <t>Lamp Power (watts)</t>
  </si>
  <si>
    <t>System Power (watts)</t>
  </si>
  <si>
    <t>DLC Approved</t>
  </si>
  <si>
    <t>Total Annual Burn Hours
(Auto Calculated)</t>
  </si>
  <si>
    <t>Enter Fixture Quantity:</t>
  </si>
  <si>
    <t>Enter Lamps per Fixture:</t>
  </si>
  <si>
    <t>Enter Operating Hours per Day:</t>
  </si>
  <si>
    <t>Enter Operating Days per Week:</t>
  </si>
  <si>
    <t>Lamp to replace</t>
  </si>
  <si>
    <t>32W T8 Instant Start</t>
  </si>
  <si>
    <t>28W T8 Instant Start</t>
  </si>
  <si>
    <t>25W T8 Instant Start</t>
  </si>
  <si>
    <t>Watts</t>
  </si>
  <si>
    <t>Instant Start Lamps</t>
  </si>
  <si>
    <t>Energy Rate</t>
  </si>
  <si>
    <t>Select Ballast Factor</t>
  </si>
  <si>
    <t>Ballast Factor</t>
  </si>
  <si>
    <t>Existing Lamp</t>
  </si>
  <si>
    <t>Replacement Lamp (InstantFit)</t>
  </si>
  <si>
    <t>Adjust System Power (Watts)</t>
  </si>
  <si>
    <t>TL</t>
  </si>
  <si>
    <t>Payback</t>
  </si>
  <si>
    <t>Estimated Lighting Costs Using an Incandescent 65W BR30 Lamp</t>
  </si>
  <si>
    <t>Present Wattage</t>
  </si>
  <si>
    <t>x Annual Operating Hours</t>
  </si>
  <si>
    <t>Hours</t>
  </si>
  <si>
    <t>Watt-hours</t>
  </si>
  <si>
    <t>/1000</t>
  </si>
  <si>
    <t>kWh</t>
  </si>
  <si>
    <t>x kWh Rate of $0.11</t>
  </si>
  <si>
    <t>per year</t>
  </si>
  <si>
    <t>x 100 lamps per space</t>
  </si>
  <si>
    <t>annual energy cost per space</t>
  </si>
  <si>
    <t>Estimated Lighting Costs Using a Philips 10.5W LED BR30 Lamp</t>
  </si>
  <si>
    <t>Total Estimated Annual Savings</t>
  </si>
  <si>
    <t>Energy Used (kWh)</t>
  </si>
  <si>
    <t>System Wattage</t>
  </si>
  <si>
    <t>Existing System Wattage</t>
  </si>
  <si>
    <t>kWh used</t>
  </si>
  <si>
    <t>ENTER SYSTEM DATA BELOW</t>
  </si>
  <si>
    <t>Select Lamp to Replace</t>
  </si>
  <si>
    <t>Total Energy + Lamp Cost</t>
  </si>
  <si>
    <t>Year</t>
  </si>
  <si>
    <t>TL system Cost</t>
  </si>
  <si>
    <t>TLED System</t>
  </si>
  <si>
    <t>Difference</t>
  </si>
  <si>
    <t>Payback Calc</t>
  </si>
  <si>
    <t>Cumulative Hours</t>
  </si>
  <si>
    <t>Years Payback</t>
  </si>
  <si>
    <t>Select InstantFit TLED</t>
  </si>
  <si>
    <t>InstantFit System Wattage (Watts)</t>
  </si>
  <si>
    <t>Fluorsecent Lamp Disposal Cost</t>
  </si>
  <si>
    <t>Final TL Lamp Cost</t>
  </si>
  <si>
    <t>$ Spent befor payback</t>
  </si>
  <si>
    <t>Select Energy Rate (per kWh)</t>
  </si>
  <si>
    <t>Calculations Prepared for:</t>
  </si>
  <si>
    <t>Yrs</t>
  </si>
  <si>
    <t>(enter customer name)</t>
  </si>
  <si>
    <t>Cost Per Lamp</t>
  </si>
  <si>
    <t xml:space="preserve">PAYBACK </t>
  </si>
  <si>
    <t>Date</t>
  </si>
  <si>
    <t>Description</t>
  </si>
  <si>
    <t>Owner</t>
  </si>
  <si>
    <t>Brian V</t>
  </si>
  <si>
    <t>Version</t>
  </si>
  <si>
    <t>434860 - 16.5T8/48-3000 IF - 3000K</t>
  </si>
  <si>
    <t>434878 - 16.5T8/48-3500 IF - 3500K</t>
  </si>
  <si>
    <t>434886 - 16.5T8/48-4000 IF - 4000K</t>
  </si>
  <si>
    <t>434894 - 16.5T8/48-5000 IF - 5000K</t>
  </si>
  <si>
    <t>452052 - 10.5T8/36-3000 IF - 3000K</t>
  </si>
  <si>
    <t>452060 - 10.5T8/36-3500 IF - 3500K</t>
  </si>
  <si>
    <t>452078 - 10.5T8/36-4000 IF - 4000K</t>
  </si>
  <si>
    <t>452086 - 10.5T8/36-5000 IF - 5000K</t>
  </si>
  <si>
    <t>452011 - 8.5T8/24-3000 IF - 3000K</t>
  </si>
  <si>
    <t>452029 - 8.5T8/24-3500 IF - 3500K</t>
  </si>
  <si>
    <t>452037 - 8.5T8/24-4000 IF - 4000K</t>
  </si>
  <si>
    <t>452045 - 8.5T8/24-5000 IF - 5000K</t>
  </si>
  <si>
    <t>452672 - 16.5T8/22.5-3500 IF-6U - 3500K</t>
  </si>
  <si>
    <t>452664 - 16.5T8/22.5-3000 IF-6U - 3000K</t>
  </si>
  <si>
    <t>452680 - 16.5T8/22.5-4000 IF-6U - 4000K</t>
  </si>
  <si>
    <t>452698 - 16.5T8/22.5-5000 IF-6U - 5000K</t>
  </si>
  <si>
    <t>Low Ballast Wattage</t>
  </si>
  <si>
    <t>Normal Ballast Wattage</t>
  </si>
  <si>
    <t>High Ballast Wattage</t>
  </si>
  <si>
    <t>TLED System Watts</t>
  </si>
  <si>
    <t>Linear Fluorescent System Watts</t>
  </si>
  <si>
    <t>25W 36" T8</t>
  </si>
  <si>
    <t>17W 24" T8</t>
  </si>
  <si>
    <t>25W 48" T8</t>
  </si>
  <si>
    <t>28W 48" T8</t>
  </si>
  <si>
    <t>32W 48" T8</t>
  </si>
  <si>
    <t>32W U-Bend</t>
  </si>
  <si>
    <t>Utility Rebate</t>
  </si>
  <si>
    <t>No change to ballast factor multiplier per email between Bo/Shane
Added U-bend, 2', 3', 4' (2100 lm) TLED options
Added 2', 3' &amp; U-bend TL options
Limited TLED selection based on TL Lamp selected
Auto clear the rebate whenever a new TL Lamp is selected</t>
  </si>
  <si>
    <t>Low Ballast Wattage (0.77)</t>
  </si>
  <si>
    <t>Normal Ballast Wattage (0.88)</t>
  </si>
  <si>
    <t>High Ballast Wattage (1.18)</t>
  </si>
  <si>
    <t>Final End User InstantFit Lamp Cost</t>
  </si>
  <si>
    <t>Energy Cost Saved per year*</t>
  </si>
  <si>
    <t>Energy saved per year*</t>
  </si>
  <si>
    <t>*For esitmation purposes only.  Your results may vary based on application and equipment used.</t>
  </si>
  <si>
    <t>12T8/48-3000 IF 10/1</t>
  </si>
  <si>
    <t>12T8/48-3500 IF 10/1</t>
  </si>
  <si>
    <t>12T8/48-4000 IF 10/1</t>
  </si>
  <si>
    <t>12T8/48-5000 IF 10/1</t>
  </si>
  <si>
    <t>16.5T8/48-3000 IF 10/1</t>
  </si>
  <si>
    <t>16.5T8/48-3500 IF 10/1</t>
  </si>
  <si>
    <t>16.5T8/48-4000 IF 10/1</t>
  </si>
  <si>
    <t>16.5T8/48-5000 IF 10/1</t>
  </si>
  <si>
    <t>120-277, 347</t>
  </si>
  <si>
    <t>453613 - 12T8/48-5000 IF - 5000K</t>
  </si>
  <si>
    <t>453605 - 12T8/48-4000 IF - 4000K</t>
  </si>
  <si>
    <t>453597 - 12T8/48-3500 IF - 3500K</t>
  </si>
  <si>
    <t>453589 - 12T8/48-3000 IF - 3000K</t>
  </si>
  <si>
    <t>Updated product list.  Replaced 14.5W products with 12W products</t>
  </si>
  <si>
    <t>40W PL-L</t>
  </si>
  <si>
    <t>456632 - 16.5PL-LED/24-3000 IF - 3000K</t>
  </si>
  <si>
    <t>456640 - 16.5PL-LED/24-3500 IF - 3500K</t>
  </si>
  <si>
    <t>456657 - 16.5PL-LED/24-4000 IF - 4000K</t>
  </si>
  <si>
    <t>Updated product list to include PLL (3 SKUs), Dimmable (4 SKUs), Glass (2 SKUs)</t>
  </si>
  <si>
    <t>456566 - 17T8/48-4000 IFG - 4000K</t>
  </si>
  <si>
    <t>456574 - 17T8/48-5000 IFG - 5000K</t>
  </si>
  <si>
    <t>456905 - 15T8/48-3500 IF DIM - 3500K</t>
  </si>
  <si>
    <t>456913 - 15T8/48-4000 IF DIM - 4000K</t>
  </si>
  <si>
    <t>456921 - 15T8/48-5000 IF DIM - 5000K</t>
  </si>
  <si>
    <t>456897 - 15T8/48-3000 IF DIM - 3000K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</si>
</sst>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$-409]#,##0.00"/>
    <numFmt numFmtId="167" formatCode="[$-409]d\-mmm;@"/>
    <numFmt numFmtId="168" formatCode="_-* #,##0.00_-;\-* #,##0.00_-;_-* &quot;-&quot;??_-;_-@_-"/>
    <numFmt numFmtId="169" formatCode="_-&quot;$&quot;* #,##0.00_-;\-&quot;$&quot;* #,##0.00_-;_-&quot;$&quot;* &quot;-&quot;??_-;_-@_-"/>
    <numFmt numFmtId="170" formatCode="0.0"/>
    <numFmt numFmtId="171" formatCode="_(&quot;$&quot;* #,##0_);_(&quot;$&quot;* \(#,##0\);_(&quot;$&quot;* &quot;-&quot;??_);_(@_)"/>
  </numFmts>
  <fonts count="33">
    <font>
      <sz val="11"/>
      <color theme="1"/>
      <name val="Calibri"/>
      <family val="2"/>
      <scheme val="minor"/>
    </font>
    <font>
      <sz val="23"/>
      <name val="Gill Sans MT"/>
      <family val="2"/>
    </font>
    <font>
      <sz val="11"/>
      <name val="Arial"/>
      <family val="2"/>
    </font>
    <font>
      <sz val="8.5"/>
      <name val="MS Sans Serif"/>
      <family val="2"/>
    </font>
    <font>
      <sz val="22"/>
      <name val="Gill Sans MT"/>
      <family val="2"/>
    </font>
    <font>
      <b/>
      <sz val="23"/>
      <name val="Gill Sans MT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name val="Gill Sans"/>
      <family val="2"/>
    </font>
    <font>
      <sz val="12"/>
      <name val="宋体"/>
      <charset val="134"/>
    </font>
    <font>
      <sz val="10"/>
      <name val="Helv"/>
      <family val="2"/>
    </font>
    <font>
      <sz val="8"/>
      <name val="Arial Unicode MS"/>
      <family val="2"/>
    </font>
    <font>
      <sz val="11"/>
      <color indexed="8"/>
      <name val="宋体"/>
      <family val="3"/>
      <charset val="134"/>
    </font>
    <font>
      <b/>
      <sz val="12"/>
      <name val="Arial"/>
      <family val="2"/>
    </font>
    <font>
      <b/>
      <sz val="10"/>
      <name val="Inherit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44444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3F3F3F"/>
      <name val="Arial"/>
      <family val="2"/>
    </font>
    <font>
      <b/>
      <sz val="14"/>
      <color theme="0"/>
      <name val="Calibri"/>
      <family val="2"/>
      <scheme val="minor"/>
    </font>
    <font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4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5">
    <xf numFmtId="0" fontId="0" fillId="0" borderId="0"/>
    <xf numFmtId="0" fontId="2" fillId="0" borderId="0"/>
    <xf numFmtId="2" fontId="3" fillId="2" borderId="1" applyNumberFormat="0" applyFont="0" applyBorder="0" applyAlignment="0" applyProtection="0">
      <alignment horizontal="center"/>
      <protection locked="0"/>
    </xf>
    <xf numFmtId="165" fontId="6" fillId="0" borderId="0" applyProtection="0"/>
    <xf numFmtId="0" fontId="7" fillId="0" borderId="0"/>
    <xf numFmtId="166" fontId="7" fillId="0" borderId="0"/>
    <xf numFmtId="0" fontId="7" fillId="0" borderId="0"/>
    <xf numFmtId="166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4" borderId="3">
      <alignment horizontal="left" vertical="center"/>
    </xf>
    <xf numFmtId="0" fontId="8" fillId="0" borderId="0"/>
    <xf numFmtId="166" fontId="8" fillId="0" borderId="0"/>
    <xf numFmtId="0" fontId="8" fillId="0" borderId="0"/>
    <xf numFmtId="0" fontId="8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11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8" fillId="0" borderId="0"/>
    <xf numFmtId="167" fontId="8" fillId="0" borderId="0"/>
    <xf numFmtId="166" fontId="8" fillId="0" borderId="0"/>
    <xf numFmtId="166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166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1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6" fillId="0" borderId="0"/>
    <xf numFmtId="167" fontId="8" fillId="0" borderId="0"/>
    <xf numFmtId="167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2" fillId="0" borderId="0"/>
    <xf numFmtId="0" fontId="13" fillId="3" borderId="0">
      <alignment horizontal="left" vertical="center"/>
    </xf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14" fillId="0" borderId="0"/>
    <xf numFmtId="0" fontId="19" fillId="5" borderId="4" applyNumberFormat="0" applyAlignment="0" applyProtection="0"/>
    <xf numFmtId="44" fontId="8" fillId="0" borderId="0" applyFont="0" applyFill="0" applyBorder="0" applyAlignment="0" applyProtection="0"/>
    <xf numFmtId="0" fontId="24" fillId="6" borderId="6" applyNumberFormat="0" applyAlignment="0" applyProtection="0"/>
  </cellStyleXfs>
  <cellXfs count="55">
    <xf numFmtId="0" fontId="0" fillId="0" borderId="0" xfId="0"/>
    <xf numFmtId="164" fontId="0" fillId="0" borderId="0" xfId="0" applyNumberFormat="1"/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 wrapText="1"/>
      <protection locked="0"/>
    </xf>
    <xf numFmtId="0" fontId="20" fillId="0" borderId="0" xfId="0" applyFont="1"/>
    <xf numFmtId="0" fontId="0" fillId="0" borderId="0" xfId="0" applyAlignment="1">
      <alignment wrapText="1"/>
    </xf>
    <xf numFmtId="170" fontId="0" fillId="0" borderId="0" xfId="0" applyNumberFormat="1"/>
    <xf numFmtId="44" fontId="0" fillId="0" borderId="0" xfId="233" applyFont="1"/>
    <xf numFmtId="171" fontId="0" fillId="0" borderId="0" xfId="233" applyNumberFormat="1" applyFont="1"/>
    <xf numFmtId="171" fontId="0" fillId="0" borderId="0" xfId="0" applyNumberFormat="1"/>
    <xf numFmtId="0" fontId="22" fillId="0" borderId="0" xfId="0" applyFont="1"/>
    <xf numFmtId="0" fontId="23" fillId="0" borderId="0" xfId="0" applyFont="1" applyAlignment="1">
      <alignment horizontal="right"/>
    </xf>
    <xf numFmtId="2" fontId="23" fillId="0" borderId="0" xfId="0" applyNumberFormat="1" applyFont="1"/>
    <xf numFmtId="164" fontId="23" fillId="0" borderId="0" xfId="0" applyNumberFormat="1" applyFont="1"/>
    <xf numFmtId="1" fontId="23" fillId="0" borderId="0" xfId="0" applyNumberFormat="1" applyFont="1"/>
    <xf numFmtId="0" fontId="26" fillId="0" borderId="0" xfId="0" applyFont="1"/>
    <xf numFmtId="0" fontId="21" fillId="0" borderId="0" xfId="0" applyFont="1" applyFill="1"/>
    <xf numFmtId="44" fontId="24" fillId="6" borderId="6" xfId="234" applyNumberFormat="1" applyProtection="1"/>
    <xf numFmtId="0" fontId="20" fillId="0" borderId="0" xfId="0" applyFont="1" applyProtection="1">
      <protection hidden="1"/>
    </xf>
    <xf numFmtId="0" fontId="27" fillId="0" borderId="0" xfId="0" applyFont="1" applyAlignment="1">
      <alignment horizontal="right"/>
    </xf>
    <xf numFmtId="0" fontId="18" fillId="0" borderId="0" xfId="0" applyFont="1" applyBorder="1"/>
    <xf numFmtId="0" fontId="26" fillId="0" borderId="0" xfId="0" applyFont="1" applyBorder="1"/>
    <xf numFmtId="0" fontId="26" fillId="0" borderId="0" xfId="0" applyFont="1" applyFill="1"/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</xf>
    <xf numFmtId="0" fontId="29" fillId="0" borderId="0" xfId="0" applyFont="1" applyFill="1"/>
    <xf numFmtId="170" fontId="26" fillId="0" borderId="0" xfId="0" applyNumberFormat="1" applyFont="1" applyFill="1"/>
    <xf numFmtId="0" fontId="26" fillId="0" borderId="0" xfId="0" quotePrefix="1" applyFont="1" applyFill="1"/>
    <xf numFmtId="7" fontId="26" fillId="0" borderId="0" xfId="233" applyNumberFormat="1" applyFont="1" applyFill="1"/>
    <xf numFmtId="0" fontId="29" fillId="0" borderId="5" xfId="0" quotePrefix="1" applyFont="1" applyFill="1" applyBorder="1"/>
    <xf numFmtId="7" fontId="29" fillId="0" borderId="5" xfId="233" applyNumberFormat="1" applyFont="1" applyFill="1" applyBorder="1"/>
    <xf numFmtId="171" fontId="26" fillId="0" borderId="0" xfId="233" applyNumberFormat="1" applyFont="1" applyFill="1"/>
    <xf numFmtId="170" fontId="23" fillId="0" borderId="0" xfId="0" applyNumberFormat="1" applyFont="1"/>
    <xf numFmtId="0" fontId="25" fillId="7" borderId="2" xfId="0" applyFont="1" applyFill="1" applyBorder="1" applyAlignment="1" applyProtection="1">
      <alignment horizontal="center" vertical="center"/>
      <protection locked="0"/>
    </xf>
    <xf numFmtId="0" fontId="21" fillId="7" borderId="4" xfId="232" applyFont="1" applyFill="1" applyProtection="1">
      <protection locked="0"/>
    </xf>
    <xf numFmtId="44" fontId="21" fillId="7" borderId="4" xfId="233" applyFont="1" applyFill="1" applyBorder="1" applyProtection="1">
      <protection locked="0"/>
    </xf>
    <xf numFmtId="164" fontId="21" fillId="7" borderId="4" xfId="232" applyNumberFormat="1" applyFont="1" applyFill="1" applyProtection="1">
      <protection locked="0"/>
    </xf>
    <xf numFmtId="0" fontId="25" fillId="7" borderId="0" xfId="0" applyFont="1" applyFill="1" applyBorder="1" applyAlignment="1" applyProtection="1">
      <alignment horizontal="center" vertical="center"/>
      <protection locked="0"/>
    </xf>
    <xf numFmtId="1" fontId="30" fillId="6" borderId="8" xfId="234" applyNumberFormat="1" applyFont="1" applyBorder="1" applyAlignment="1" applyProtection="1">
      <alignment horizontal="center" vertical="center"/>
    </xf>
    <xf numFmtId="0" fontId="21" fillId="0" borderId="0" xfId="0" applyFont="1"/>
    <xf numFmtId="0" fontId="31" fillId="0" borderId="0" xfId="0" applyFont="1"/>
    <xf numFmtId="7" fontId="21" fillId="0" borderId="0" xfId="0" applyNumberFormat="1" applyFont="1"/>
    <xf numFmtId="0" fontId="21" fillId="0" borderId="0" xfId="0" applyFont="1" applyAlignment="1">
      <alignment horizontal="right"/>
    </xf>
    <xf numFmtId="2" fontId="21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32" fillId="0" borderId="0" xfId="0" applyFont="1"/>
    <xf numFmtId="0" fontId="20" fillId="0" borderId="0" xfId="0" applyFont="1" applyAlignment="1">
      <alignment vertical="top" wrapText="1"/>
    </xf>
    <xf numFmtId="0" fontId="0" fillId="0" borderId="0" xfId="0" quotePrefix="1"/>
    <xf numFmtId="0" fontId="0" fillId="8" borderId="0" xfId="0" applyFill="1"/>
    <xf numFmtId="0" fontId="17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8" fillId="0" borderId="7" xfId="0" applyFont="1" applyBorder="1" applyAlignment="1" applyProtection="1">
      <alignment horizontal="left"/>
      <protection locked="0"/>
    </xf>
  </cellXfs>
  <cellStyles count="235">
    <cellStyle name="A4 Small 210 x 297 mm" xfId="5"/>
    <cellStyle name="A4 Small 210 x 297 mm 10" xfId="6"/>
    <cellStyle name="A4 Small 210 x 297 mm 10 2" xfId="7"/>
    <cellStyle name="A4 Small 210 x 297 mm 2" xfId="8"/>
    <cellStyle name="A4 Small 210 x 297 mm 2 10" xfId="9"/>
    <cellStyle name="A4 Small 210 x 297 mm 2 11" xfId="10"/>
    <cellStyle name="A4 Small 210 x 297 mm 2 12" xfId="11"/>
    <cellStyle name="A4 Small 210 x 297 mm 2 13" xfId="12"/>
    <cellStyle name="A4 Small 210 x 297 mm 2 14" xfId="13"/>
    <cellStyle name="A4 Small 210 x 297 mm 2 15" xfId="14"/>
    <cellStyle name="A4 Small 210 x 297 mm 2 16" xfId="15"/>
    <cellStyle name="A4 Small 210 x 297 mm 2 17" xfId="16"/>
    <cellStyle name="A4 Small 210 x 297 mm 2 18" xfId="17"/>
    <cellStyle name="A4 Small 210 x 297 mm 2 19" xfId="18"/>
    <cellStyle name="A4 Small 210 x 297 mm 2 2" xfId="19"/>
    <cellStyle name="A4 Small 210 x 297 mm 2 20" xfId="20"/>
    <cellStyle name="A4 Small 210 x 297 mm 2 21" xfId="21"/>
    <cellStyle name="A4 Small 210 x 297 mm 2 22" xfId="22"/>
    <cellStyle name="A4 Small 210 x 297 mm 2 23" xfId="23"/>
    <cellStyle name="A4 Small 210 x 297 mm 2 24" xfId="24"/>
    <cellStyle name="A4 Small 210 x 297 mm 2 25" xfId="25"/>
    <cellStyle name="A4 Small 210 x 297 mm 2 26" xfId="26"/>
    <cellStyle name="A4 Small 210 x 297 mm 2 27" xfId="27"/>
    <cellStyle name="A4 Small 210 x 297 mm 2 28" xfId="28"/>
    <cellStyle name="A4 Small 210 x 297 mm 2 29" xfId="29"/>
    <cellStyle name="A4 Small 210 x 297 mm 2 3" xfId="30"/>
    <cellStyle name="A4 Small 210 x 297 mm 2 4" xfId="31"/>
    <cellStyle name="A4 Small 210 x 297 mm 2 5" xfId="32"/>
    <cellStyle name="A4 Small 210 x 297 mm 2 6" xfId="33"/>
    <cellStyle name="A4 Small 210 x 297 mm 2 7" xfId="34"/>
    <cellStyle name="A4 Small 210 x 297 mm 2 8" xfId="35"/>
    <cellStyle name="A4 Small 210 x 297 mm 2 9" xfId="36"/>
    <cellStyle name="A4 Small 210 x 297 mm 3" xfId="37"/>
    <cellStyle name="Comma 2" xfId="38"/>
    <cellStyle name="Comma 2 2" xfId="39"/>
    <cellStyle name="Comma 2 3" xfId="40"/>
    <cellStyle name="Comma 3" xfId="41"/>
    <cellStyle name="Comma 4" xfId="42"/>
    <cellStyle name="Comma 4 2" xfId="43"/>
    <cellStyle name="Comma 5" xfId="44"/>
    <cellStyle name="Comma 6" xfId="45"/>
    <cellStyle name="Currency" xfId="233" builtinId="4"/>
    <cellStyle name="Currency 2" xfId="46"/>
    <cellStyle name="Currency 2 2" xfId="47"/>
    <cellStyle name="Currency 2 3" xfId="48"/>
    <cellStyle name="Currency 4" xfId="49"/>
    <cellStyle name="Group A  ›  Shaded" xfId="50"/>
    <cellStyle name="Input" xfId="232" builtinId="20"/>
    <cellStyle name="Normal" xfId="0" builtinId="0"/>
    <cellStyle name="Normal 10" xfId="51"/>
    <cellStyle name="Normal 11" xfId="52"/>
    <cellStyle name="Normal 12" xfId="53"/>
    <cellStyle name="Normal 13" xfId="54"/>
    <cellStyle name="Normal 2" xfId="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 2" xfId="66"/>
    <cellStyle name="Normal 2 20" xfId="67"/>
    <cellStyle name="Normal 2 21" xfId="68"/>
    <cellStyle name="Normal 2 22" xfId="69"/>
    <cellStyle name="Normal 2 23" xfId="70"/>
    <cellStyle name="Normal 2 24" xfId="71"/>
    <cellStyle name="Normal 2 25" xfId="72"/>
    <cellStyle name="Normal 2 26" xfId="73"/>
    <cellStyle name="Normal 2 27" xfId="74"/>
    <cellStyle name="Normal 2 28" xfId="75"/>
    <cellStyle name="Normal 2 29" xfId="76"/>
    <cellStyle name="Normal 2 3" xfId="77"/>
    <cellStyle name="Normal 2 3 2" xfId="78"/>
    <cellStyle name="Normal 2 30" xfId="79"/>
    <cellStyle name="Normal 2 30 2" xfId="80"/>
    <cellStyle name="Normal 2 31" xfId="81"/>
    <cellStyle name="Normal 2 32" xfId="82"/>
    <cellStyle name="Normal 2 33" xfId="83"/>
    <cellStyle name="Normal 2 34" xfId="84"/>
    <cellStyle name="Normal 2 35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" xfId="92"/>
    <cellStyle name="Normal 3 2" xfId="93"/>
    <cellStyle name="Normal 3 3" xfId="94"/>
    <cellStyle name="Normal 3 3 2" xfId="95"/>
    <cellStyle name="Normal 3 4" xfId="96"/>
    <cellStyle name="Normal 3 5" xfId="97"/>
    <cellStyle name="Normal 3 5 2" xfId="98"/>
    <cellStyle name="Normal 3 6" xfId="99"/>
    <cellStyle name="Normal 3 7" xfId="100"/>
    <cellStyle name="Normal 4" xfId="101"/>
    <cellStyle name="Normal 5" xfId="3"/>
    <cellStyle name="Normal 5 2" xfId="102"/>
    <cellStyle name="Normal 5 2 2" xfId="103"/>
    <cellStyle name="Normal 5 2 3" xfId="104"/>
    <cellStyle name="Normal 6" xfId="1"/>
    <cellStyle name="Normal 7" xfId="105"/>
    <cellStyle name="Normal 7 2" xfId="106"/>
    <cellStyle name="Normal 8" xfId="107"/>
    <cellStyle name="Normal 8 2" xfId="108"/>
    <cellStyle name="Normal 9" xfId="109"/>
    <cellStyle name="Output" xfId="234" builtinId="21"/>
    <cellStyle name="Style 1" xfId="110"/>
    <cellStyle name="UserCells" xfId="2"/>
    <cellStyle name="Value  ›  Ordering Code" xfId="111"/>
    <cellStyle name="常规 10" xfId="112"/>
    <cellStyle name="常规 10 2" xfId="113"/>
    <cellStyle name="常规 11" xfId="114"/>
    <cellStyle name="常规 11 2" xfId="115"/>
    <cellStyle name="常规 12" xfId="116"/>
    <cellStyle name="常规 12 2" xfId="117"/>
    <cellStyle name="常规 13" xfId="118"/>
    <cellStyle name="常规 13 2" xfId="119"/>
    <cellStyle name="常规 14" xfId="120"/>
    <cellStyle name="常规 14 2" xfId="121"/>
    <cellStyle name="常规 15" xfId="122"/>
    <cellStyle name="常规 15 2" xfId="123"/>
    <cellStyle name="常规 16" xfId="124"/>
    <cellStyle name="常规 16 2" xfId="125"/>
    <cellStyle name="常规 17" xfId="126"/>
    <cellStyle name="常规 17 2" xfId="127"/>
    <cellStyle name="常规 18" xfId="128"/>
    <cellStyle name="常规 18 2" xfId="129"/>
    <cellStyle name="常规 19" xfId="130"/>
    <cellStyle name="常规 19 2" xfId="131"/>
    <cellStyle name="常规 2" xfId="132"/>
    <cellStyle name="常规 2 2" xfId="133"/>
    <cellStyle name="常规 2 3" xfId="134"/>
    <cellStyle name="常规 20" xfId="135"/>
    <cellStyle name="常规 20 2" xfId="136"/>
    <cellStyle name="常规 21" xfId="137"/>
    <cellStyle name="常规 21 2" xfId="138"/>
    <cellStyle name="常规 22" xfId="139"/>
    <cellStyle name="常规 22 2" xfId="140"/>
    <cellStyle name="常规 22 3" xfId="141"/>
    <cellStyle name="常规 23" xfId="142"/>
    <cellStyle name="常规 23 2" xfId="143"/>
    <cellStyle name="常规 24" xfId="144"/>
    <cellStyle name="常规 24 2" xfId="145"/>
    <cellStyle name="常规 24 3" xfId="146"/>
    <cellStyle name="常规 25" xfId="147"/>
    <cellStyle name="常规 25 2" xfId="148"/>
    <cellStyle name="常规 25 3" xfId="149"/>
    <cellStyle name="常规 26" xfId="150"/>
    <cellStyle name="常规 26 2" xfId="151"/>
    <cellStyle name="常规 26 3" xfId="152"/>
    <cellStyle name="常规 27" xfId="153"/>
    <cellStyle name="常规 27 2" xfId="154"/>
    <cellStyle name="常规 27 3" xfId="155"/>
    <cellStyle name="常规 28" xfId="156"/>
    <cellStyle name="常规 28 2" xfId="157"/>
    <cellStyle name="常规 28 3" xfId="158"/>
    <cellStyle name="常规 3" xfId="159"/>
    <cellStyle name="常规 3 2" xfId="160"/>
    <cellStyle name="常规 3 3" xfId="161"/>
    <cellStyle name="常规 30" xfId="162"/>
    <cellStyle name="常规 30 2" xfId="163"/>
    <cellStyle name="常规 30 3" xfId="164"/>
    <cellStyle name="常规 31" xfId="165"/>
    <cellStyle name="常规 31 2" xfId="166"/>
    <cellStyle name="常规 31 3" xfId="167"/>
    <cellStyle name="常规 32" xfId="168"/>
    <cellStyle name="常规 32 2" xfId="169"/>
    <cellStyle name="常规 32 3" xfId="170"/>
    <cellStyle name="常规 33" xfId="171"/>
    <cellStyle name="常规 33 2" xfId="172"/>
    <cellStyle name="常规 34" xfId="173"/>
    <cellStyle name="常规 34 2" xfId="174"/>
    <cellStyle name="常规 35" xfId="175"/>
    <cellStyle name="常规 35 2" xfId="176"/>
    <cellStyle name="常规 36" xfId="177"/>
    <cellStyle name="常规 36 2" xfId="178"/>
    <cellStyle name="常规 37" xfId="179"/>
    <cellStyle name="常规 37 2" xfId="180"/>
    <cellStyle name="常规 38" xfId="181"/>
    <cellStyle name="常规 38 2" xfId="182"/>
    <cellStyle name="常规 39" xfId="183"/>
    <cellStyle name="常规 39 2" xfId="184"/>
    <cellStyle name="常规 4" xfId="185"/>
    <cellStyle name="常规 4 2" xfId="186"/>
    <cellStyle name="常规 4 3" xfId="187"/>
    <cellStyle name="常规 40" xfId="188"/>
    <cellStyle name="常规 40 2" xfId="189"/>
    <cellStyle name="常规 41" xfId="190"/>
    <cellStyle name="常规 41 2" xfId="191"/>
    <cellStyle name="常规 42" xfId="192"/>
    <cellStyle name="常规 42 2" xfId="193"/>
    <cellStyle name="常规 43" xfId="194"/>
    <cellStyle name="常规 43 2" xfId="195"/>
    <cellStyle name="常规 44" xfId="196"/>
    <cellStyle name="常规 44 2" xfId="197"/>
    <cellStyle name="常规 45" xfId="198"/>
    <cellStyle name="常规 45 2" xfId="199"/>
    <cellStyle name="常规 46" xfId="200"/>
    <cellStyle name="常规 46 2" xfId="201"/>
    <cellStyle name="常规 47" xfId="202"/>
    <cellStyle name="常规 47 2" xfId="203"/>
    <cellStyle name="常规 48" xfId="204"/>
    <cellStyle name="常规 48 2" xfId="205"/>
    <cellStyle name="常规 48 3" xfId="206"/>
    <cellStyle name="常规 49" xfId="207"/>
    <cellStyle name="常规 49 2" xfId="208"/>
    <cellStyle name="常规 5" xfId="209"/>
    <cellStyle name="常规 5 2" xfId="210"/>
    <cellStyle name="常规 5 3" xfId="211"/>
    <cellStyle name="常规 50" xfId="212"/>
    <cellStyle name="常规 50 2" xfId="213"/>
    <cellStyle name="常规 50 3" xfId="214"/>
    <cellStyle name="常规 51" xfId="215"/>
    <cellStyle name="常规 51 2" xfId="216"/>
    <cellStyle name="常规 51 3" xfId="217"/>
    <cellStyle name="常规 52" xfId="218"/>
    <cellStyle name="常规 52 2" xfId="219"/>
    <cellStyle name="常规 52 3" xfId="220"/>
    <cellStyle name="常规 53" xfId="221"/>
    <cellStyle name="常规 53 2" xfId="222"/>
    <cellStyle name="常规 6" xfId="223"/>
    <cellStyle name="常规 6 2" xfId="224"/>
    <cellStyle name="常规 7" xfId="225"/>
    <cellStyle name="常规 7 2" xfId="226"/>
    <cellStyle name="常规 8" xfId="227"/>
    <cellStyle name="常规 8 2" xfId="228"/>
    <cellStyle name="常规 9" xfId="229"/>
    <cellStyle name="常规 9 2" xfId="230"/>
    <cellStyle name="常规_Xl0000031" xfId="23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4556F9"/>
      <color rgb="FF008A3E"/>
      <color rgb="FF4180FD"/>
      <color rgb="FF0241BE"/>
      <color rgb="FF00FF00"/>
      <color rgb="FF2E5FA8"/>
      <color rgb="FFFFCCFF"/>
      <color rgb="FF00CCFF"/>
      <color rgb="FFE9EFF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TLED Payback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829561897911441"/>
          <c:y val="0.12228995324483015"/>
          <c:w val="0.70089834887941271"/>
          <c:h val="0.695998361029770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'TLED PAYBACK CALC'!$M$11</c:f>
              <c:strCache>
                <c:ptCount val="1"/>
                <c:pt idx="0">
                  <c:v>TL system Cost</c:v>
                </c:pt>
              </c:strCache>
            </c:strRef>
          </c:tx>
          <c:marker>
            <c:symbol val="none"/>
          </c:marker>
          <c:xVal>
            <c:numRef>
              <c:f>'TLED PAYBACK CALC'!$N$9:$S$9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'TLED PAYBACK CALC'!$N$11:$S$11</c:f>
              <c:numCache>
                <c:formatCode>"$"#,##0.00_);\("$"#,##0.00\)</c:formatCode>
                <c:ptCount val="6"/>
                <c:pt idx="0">
                  <c:v>58</c:v>
                </c:pt>
                <c:pt idx="1">
                  <c:v>269.41120000000001</c:v>
                </c:pt>
                <c:pt idx="2">
                  <c:v>480.82240000000002</c:v>
                </c:pt>
                <c:pt idx="3">
                  <c:v>692.23360000000002</c:v>
                </c:pt>
                <c:pt idx="4">
                  <c:v>903.64480000000003</c:v>
                </c:pt>
                <c:pt idx="5">
                  <c:v>1115.056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'TLED PAYBACK CALC'!$M$13</c:f>
              <c:strCache>
                <c:ptCount val="1"/>
                <c:pt idx="0">
                  <c:v>TLED System</c:v>
                </c:pt>
              </c:strCache>
            </c:strRef>
          </c:tx>
          <c:marker>
            <c:symbol val="none"/>
          </c:marker>
          <c:xVal>
            <c:numRef>
              <c:f>'TLED PAYBACK CALC'!$N$9:$S$9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'TLED PAYBACK CALC'!$N$13:$S$13</c:f>
              <c:numCache>
                <c:formatCode>"$"#,##0.00_);\("$"#,##0.00\)</c:formatCode>
                <c:ptCount val="6"/>
                <c:pt idx="0">
                  <c:v>160</c:v>
                </c:pt>
                <c:pt idx="1">
                  <c:v>299.33920000000001</c:v>
                </c:pt>
                <c:pt idx="2">
                  <c:v>438.67840000000001</c:v>
                </c:pt>
                <c:pt idx="3">
                  <c:v>578.01760000000002</c:v>
                </c:pt>
                <c:pt idx="4">
                  <c:v>717.35680000000002</c:v>
                </c:pt>
                <c:pt idx="5">
                  <c:v>856.69600000000003</c:v>
                </c:pt>
              </c:numCache>
            </c:numRef>
          </c:yVal>
          <c:smooth val="0"/>
        </c:ser>
        <c:ser>
          <c:idx val="2"/>
          <c:order val="2"/>
          <c:tx>
            <c:v>Payback (Yrs)</c:v>
          </c:tx>
          <c:marker>
            <c:symbol val="triangle"/>
            <c:size val="10"/>
          </c:marker>
          <c:dPt>
            <c:idx val="0"/>
            <c:marker>
              <c:symbol val="circle"/>
              <c:size val="7"/>
              <c:spPr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6355459219188398"/>
                  <c:y val="-5.1200167062865808E-2"/>
                </c:manualLayout>
              </c:layout>
              <c:spPr>
                <a:solidFill>
                  <a:schemeClr val="accent3"/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</c:dLbl>
            <c:showLegendKey val="0"/>
            <c:showVal val="1"/>
            <c:showCatName val="1"/>
            <c:showSerName val="1"/>
            <c:showPercent val="0"/>
            <c:showBubbleSize val="0"/>
            <c:showLeaderLines val="0"/>
          </c:dLbls>
          <c:xVal>
            <c:numRef>
              <c:f>'TLED PAYBACK CALC'!$N$20</c:f>
              <c:numCache>
                <c:formatCode>0.00</c:formatCode>
                <c:ptCount val="1"/>
                <c:pt idx="0">
                  <c:v>1.4152514152514153</c:v>
                </c:pt>
              </c:numCache>
            </c:numRef>
          </c:xVal>
          <c:yVal>
            <c:numRef>
              <c:f>'TLED PAYBACK CALC'!$N$21</c:f>
              <c:numCache>
                <c:formatCode>"$"#,##0.00_);\("$"#,##0.00\)</c:formatCode>
                <c:ptCount val="1"/>
                <c:pt idx="0">
                  <c:v>357.20000000000005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587968"/>
        <c:axId val="119590272"/>
      </c:scatterChart>
      <c:valAx>
        <c:axId val="11958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crossAx val="119590272"/>
        <c:crosses val="autoZero"/>
        <c:crossBetween val="midCat"/>
      </c:valAx>
      <c:valAx>
        <c:axId val="11959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 ($)</a:t>
                </a:r>
              </a:p>
            </c:rich>
          </c:tx>
          <c:layout/>
          <c:overlay val="0"/>
        </c:title>
        <c:numFmt formatCode="&quot;$&quot;#,##0_);\(&quot;$&quot;#,##0\)" sourceLinked="0"/>
        <c:majorTickMark val="out"/>
        <c:minorTickMark val="none"/>
        <c:tickLblPos val="nextTo"/>
        <c:crossAx val="119587968"/>
        <c:crossesAt val="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137582</xdr:rowOff>
    </xdr:from>
    <xdr:to>
      <xdr:col>13</xdr:col>
      <xdr:colOff>514350</xdr:colOff>
      <xdr:row>32</xdr:row>
      <xdr:rowOff>158749</xdr:rowOff>
    </xdr:to>
    <xdr:sp macro="" textlink="">
      <xdr:nvSpPr>
        <xdr:cNvPr id="2" name="TextBox 1"/>
        <xdr:cNvSpPr txBox="1"/>
      </xdr:nvSpPr>
      <xdr:spPr>
        <a:xfrm>
          <a:off x="390525" y="137582"/>
          <a:ext cx="8103658" cy="6117167"/>
        </a:xfrm>
        <a:prstGeom prst="rect">
          <a:avLst/>
        </a:prstGeom>
        <a:solidFill>
          <a:srgbClr val="2E5F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chemeClr val="bg1"/>
              </a:solidFill>
            </a:rPr>
            <a:t>Important Notes Regarding Calculation</a:t>
          </a:r>
          <a:r>
            <a:rPr lang="en-US" sz="1600" b="1" baseline="0">
              <a:solidFill>
                <a:schemeClr val="bg1"/>
              </a:solidFill>
            </a:rPr>
            <a:t> Methods:</a:t>
          </a:r>
        </a:p>
        <a:p>
          <a:endParaRPr lang="en-US" sz="1400" baseline="0">
            <a:solidFill>
              <a:schemeClr val="bg1"/>
            </a:solidFill>
          </a:endParaRPr>
        </a:p>
        <a:p>
          <a:r>
            <a:rPr lang="en-US" sz="1400" b="1" baseline="0">
              <a:solidFill>
                <a:schemeClr val="bg1"/>
              </a:solidFill>
            </a:rPr>
            <a:t>   Input wattages for existing fixtures </a:t>
          </a:r>
          <a:r>
            <a:rPr lang="en-US" sz="1400" baseline="0">
              <a:solidFill>
                <a:schemeClr val="bg1"/>
              </a:solidFill>
            </a:rPr>
            <a:t>are based on the following parameters: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	T8 lamp = (lamp wattage x  0.88 ballast factor)  + (lamp wattage  .88 ballast factor x 6% draw)</a:t>
          </a:r>
          <a:endParaRPr lang="en-US" sz="1400">
            <a:solidFill>
              <a:schemeClr val="bg1"/>
            </a:solidFill>
            <a:effectLst/>
          </a:endParaRPr>
        </a:p>
        <a:p>
          <a:r>
            <a:rPr lang="en-US" sz="1400" baseline="0">
              <a:solidFill>
                <a:schemeClr val="bg1"/>
              </a:solidFill>
            </a:rPr>
            <a:t>	T12 lamp = (lamp wattage x  0.98 ballast factor)  + (lamp wattage  .88 ballast factor x 8% draw)</a:t>
          </a:r>
        </a:p>
        <a:p>
          <a:endParaRPr lang="en-US" sz="1400" baseline="0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Input wattages for TLED lamps </a:t>
          </a: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are based on the chart supplied -</a:t>
          </a:r>
          <a:r>
            <a:rPr lang="en-US" sz="14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ref: last worksheet in workbook</a:t>
          </a:r>
          <a:endParaRPr lang="en-US" sz="14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Operation and Maintenance Calculations </a:t>
          </a: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are based on </a:t>
          </a: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real time </a:t>
          </a: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 the following parameters: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T8 32W </a:t>
          </a: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lamp life @ 30,000 hrs</a:t>
          </a:r>
          <a:endParaRPr lang="en-US" sz="1400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T8 28W </a:t>
          </a: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lamp life  @ 38,000 hrs</a:t>
          </a:r>
          <a:endParaRPr lang="en-US" sz="1400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T8 25W </a:t>
          </a: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lamp life  @ 30,000 hrs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T12</a:t>
          </a: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Lamp Life @ 18,000</a:t>
          </a:r>
          <a:endParaRPr lang="en-US" sz="1400">
            <a:solidFill>
              <a:schemeClr val="bg1"/>
            </a:solidFill>
            <a:effectLst/>
          </a:endParaRPr>
        </a:p>
        <a:p>
          <a:r>
            <a:rPr lang="en-US" sz="1400">
              <a:solidFill>
                <a:schemeClr val="bg1"/>
              </a:solidFill>
            </a:rPr>
            <a:t>	Ballast</a:t>
          </a:r>
          <a:r>
            <a:rPr lang="en-US" sz="1400" baseline="0">
              <a:solidFill>
                <a:schemeClr val="bg1"/>
              </a:solidFill>
            </a:rPr>
            <a:t> life @ 2.5 times lamp life</a:t>
          </a:r>
        </a:p>
        <a:p>
          <a:r>
            <a:rPr lang="en-US" sz="1400" baseline="0">
              <a:solidFill>
                <a:schemeClr val="bg1"/>
              </a:solidFill>
            </a:rPr>
            <a:t>	Assume existing system lamps have reached their useful life - no group relamping.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TLED Instant Fit</a:t>
          </a:r>
          <a:r>
            <a:rPr lang="en-US" sz="14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lamp life @ 40,000 hrs</a:t>
          </a:r>
          <a:endParaRPr lang="en-US" sz="1400">
            <a:solidFill>
              <a:schemeClr val="bg1"/>
            </a:solidFill>
            <a:effectLst/>
          </a:endParaRPr>
        </a:p>
        <a:p>
          <a:r>
            <a:rPr lang="en-US" sz="1400" baseline="0">
              <a:solidFill>
                <a:schemeClr val="bg1"/>
              </a:solidFill>
            </a:rPr>
            <a:t>	</a:t>
          </a:r>
          <a:r>
            <a:rPr lang="en-US" sz="1400" b="1" baseline="0">
              <a:solidFill>
                <a:schemeClr val="bg1"/>
              </a:solidFill>
            </a:rPr>
            <a:t>TLED External Driver </a:t>
          </a:r>
          <a:r>
            <a:rPr lang="en-US" sz="1400" baseline="0">
              <a:solidFill>
                <a:schemeClr val="bg1"/>
              </a:solidFill>
            </a:rPr>
            <a:t>lamp life @ 50,000 hrs</a:t>
          </a:r>
        </a:p>
        <a:p>
          <a:r>
            <a:rPr lang="en-US" sz="1400" baseline="0">
              <a:solidFill>
                <a:schemeClr val="bg1"/>
              </a:solidFill>
            </a:rPr>
            <a:t>	</a:t>
          </a:r>
        </a:p>
        <a:p>
          <a:r>
            <a:rPr lang="en-US" sz="1400" baseline="0">
              <a:solidFill>
                <a:schemeClr val="bg1"/>
              </a:solidFill>
            </a:rPr>
            <a:t>	Lamp change out 15 minutes</a:t>
          </a:r>
        </a:p>
        <a:p>
          <a:r>
            <a:rPr lang="en-US" sz="1400" baseline="0">
              <a:solidFill>
                <a:schemeClr val="bg1"/>
              </a:solidFill>
            </a:rPr>
            <a:t>	Ballast change out 30 minutes</a:t>
          </a:r>
        </a:p>
        <a:p>
          <a:r>
            <a:rPr lang="en-US" sz="1400" baseline="0">
              <a:solidFill>
                <a:schemeClr val="bg1"/>
              </a:solidFill>
            </a:rPr>
            <a:t>	$1.00 per  minute labor charge</a:t>
          </a:r>
        </a:p>
        <a:p>
          <a:r>
            <a:rPr lang="en-US" sz="1400" baseline="0">
              <a:solidFill>
                <a:schemeClr val="bg1"/>
              </a:solidFill>
            </a:rPr>
            <a:t>	$0.45 per lamp recycle/disposal charge</a:t>
          </a:r>
        </a:p>
        <a:p>
          <a:r>
            <a:rPr lang="en-US" sz="1400" i="1" baseline="0">
              <a:solidFill>
                <a:schemeClr val="bg1"/>
              </a:solidFill>
            </a:rPr>
            <a:t>	Material savings cost based on average retail costs for lamps and ballasts</a:t>
          </a:r>
        </a:p>
        <a:p>
          <a:endParaRPr lang="en-US" sz="1400" baseline="0">
            <a:solidFill>
              <a:schemeClr val="bg1"/>
            </a:solidFill>
          </a:endParaRPr>
        </a:p>
        <a:p>
          <a:r>
            <a:rPr lang="en-US" sz="1400" b="1" baseline="0">
              <a:solidFill>
                <a:schemeClr val="bg1"/>
              </a:solidFill>
            </a:rPr>
            <a:t>   Rebate Calculations </a:t>
          </a:r>
          <a:r>
            <a:rPr lang="en-US" sz="1400" baseline="0">
              <a:solidFill>
                <a:schemeClr val="bg1"/>
              </a:solidFill>
            </a:rPr>
            <a:t>estimated at </a:t>
          </a:r>
          <a:r>
            <a:rPr lang="en-US" sz="1400" b="1" baseline="0">
              <a:solidFill>
                <a:schemeClr val="bg1"/>
              </a:solidFill>
            </a:rPr>
            <a:t>$0.10 per kWh </a:t>
          </a:r>
          <a:r>
            <a:rPr lang="en-US" sz="1400" baseline="0">
              <a:solidFill>
                <a:schemeClr val="bg1"/>
              </a:solidFill>
            </a:rPr>
            <a:t>for illustration purposes only</a:t>
          </a:r>
        </a:p>
        <a:p>
          <a:r>
            <a:rPr lang="en-US" sz="1400" b="1" baseline="0">
              <a:solidFill>
                <a:schemeClr val="bg1"/>
              </a:solidFill>
            </a:rPr>
            <a:t>   EPAct Calculations </a:t>
          </a:r>
          <a:r>
            <a:rPr lang="en-US" sz="1400" baseline="0">
              <a:solidFill>
                <a:schemeClr val="bg1"/>
              </a:solidFill>
            </a:rPr>
            <a:t>based on </a:t>
          </a:r>
          <a:r>
            <a:rPr lang="en-US" sz="1400" b="1" baseline="0">
              <a:solidFill>
                <a:schemeClr val="bg1"/>
              </a:solidFill>
            </a:rPr>
            <a:t>$0.60 per square foot at 35% tax rate</a:t>
          </a:r>
          <a:r>
            <a:rPr lang="en-US" sz="1400" baseline="0">
              <a:solidFill>
                <a:schemeClr val="bg1"/>
              </a:solidFill>
            </a:rPr>
            <a:t>.  </a:t>
          </a:r>
        </a:p>
        <a:p>
          <a:r>
            <a:rPr lang="en-US" sz="1400" i="1" baseline="0">
              <a:solidFill>
                <a:schemeClr val="bg1"/>
              </a:solidFill>
            </a:rPr>
            <a:t>   Square footage determined by number of fixtures entered.  </a:t>
          </a:r>
          <a:r>
            <a:rPr lang="en-US" sz="1400" b="1" i="1" baseline="0">
              <a:solidFill>
                <a:schemeClr val="bg1"/>
              </a:solidFill>
            </a:rPr>
            <a:t>Each fixture represents 80 square feet.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59530</xdr:rowOff>
    </xdr:from>
    <xdr:to>
      <xdr:col>17</xdr:col>
      <xdr:colOff>71437</xdr:colOff>
      <xdr:row>35</xdr:row>
      <xdr:rowOff>28574</xdr:rowOff>
    </xdr:to>
    <xdr:sp macro="" textlink="">
      <xdr:nvSpPr>
        <xdr:cNvPr id="2" name="TextBox 1"/>
        <xdr:cNvSpPr txBox="1"/>
      </xdr:nvSpPr>
      <xdr:spPr>
        <a:xfrm>
          <a:off x="1244600" y="1116805"/>
          <a:ext cx="9151937" cy="5941219"/>
        </a:xfrm>
        <a:prstGeom prst="rect">
          <a:avLst/>
        </a:prstGeom>
        <a:solidFill>
          <a:srgbClr val="E9EFF7"/>
        </a:solidFill>
        <a:ln w="22225" cmpd="sng">
          <a:solidFill>
            <a:srgbClr val="00CCFF"/>
          </a:solidFill>
        </a:ln>
        <a:effectLst>
          <a:outerShdw blurRad="317500" dist="50800" dir="5400000" sx="107000" sy="107000" algn="ctr" rotWithShape="0">
            <a:schemeClr val="tx2">
              <a:lumMod val="20000"/>
              <a:lumOff val="80000"/>
              <a:alpha val="41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Welcome</a:t>
          </a:r>
          <a:r>
            <a:rPr lang="en-US" sz="1200" baseline="0"/>
            <a:t> to the </a:t>
          </a:r>
          <a:r>
            <a:rPr lang="en-US" sz="1200" b="1" baseline="0"/>
            <a:t>Philips Energy Solutions Instant Energy and Environmental Impact Calculator for TLED</a:t>
          </a:r>
          <a:r>
            <a:rPr lang="en-US" sz="1200" baseline="0"/>
            <a:t>. </a:t>
          </a:r>
        </a:p>
        <a:p>
          <a:pPr algn="ctr"/>
          <a:r>
            <a:rPr lang="en-US" sz="1200" baseline="0"/>
            <a:t> Before you begin, please take a moment to understand how this tool works and how to use it.</a:t>
          </a:r>
        </a:p>
        <a:p>
          <a:pPr algn="ctr"/>
          <a:r>
            <a:rPr lang="en-US" sz="1200"/>
            <a:t>This is a tool to help you discover</a:t>
          </a:r>
          <a:r>
            <a:rPr lang="en-US" sz="1200" baseline="0"/>
            <a:t> what kind of savings you can generate by relamping existing </a:t>
          </a:r>
          <a:br>
            <a:rPr lang="en-US" sz="1200" baseline="0"/>
          </a:br>
          <a:r>
            <a:rPr lang="en-US" sz="1200" baseline="0"/>
            <a:t>linear fluorescent fixtures with </a:t>
          </a:r>
          <a:r>
            <a:rPr lang="en-US" sz="1200" b="1" baseline="0"/>
            <a:t>Philips TLED </a:t>
          </a:r>
          <a:r>
            <a:rPr lang="en-US" sz="1200" baseline="0"/>
            <a:t>lamps.</a:t>
          </a:r>
        </a:p>
        <a:p>
          <a:pPr algn="ctr"/>
          <a:endParaRPr lang="en-US" sz="1200" i="1" baseline="0"/>
        </a:p>
        <a:p>
          <a:pPr algn="ctr"/>
          <a:r>
            <a:rPr lang="en-US" sz="1200" i="1" baseline="0">
              <a:solidFill>
                <a:srgbClr val="FF0000"/>
              </a:solidFill>
            </a:rPr>
            <a:t>Please understand, these are rough estimates intended only for illustration </a:t>
          </a:r>
          <a:br>
            <a:rPr lang="en-US" sz="1200" i="1" baseline="0">
              <a:solidFill>
                <a:srgbClr val="FF0000"/>
              </a:solidFill>
            </a:rPr>
          </a:br>
          <a:r>
            <a:rPr lang="en-US" sz="1200" i="1" baseline="0">
              <a:solidFill>
                <a:srgbClr val="FF0000"/>
              </a:solidFill>
            </a:rPr>
            <a:t>purposes and are in no means to be taken for exact results or actual pricing.</a:t>
          </a:r>
        </a:p>
        <a:p>
          <a:pPr algn="ctr"/>
          <a:endParaRPr lang="en-US" sz="1200"/>
        </a:p>
        <a:p>
          <a:pPr algn="ctr"/>
          <a:r>
            <a:rPr lang="en-US" sz="1200"/>
            <a:t>On the </a:t>
          </a:r>
          <a:r>
            <a:rPr lang="en-US" sz="1200" b="1"/>
            <a:t>Input </a:t>
          </a:r>
          <a:r>
            <a:rPr lang="en-US" sz="1200" b="0"/>
            <a:t>page</a:t>
          </a:r>
          <a:r>
            <a:rPr lang="en-US" sz="1200"/>
            <a:t>, you will find a list of all the lamps and ballast commbinations that can be replaced with</a:t>
          </a:r>
          <a:r>
            <a:rPr lang="en-US" sz="1200" baseline="0"/>
            <a:t> TLED lamps</a:t>
          </a:r>
          <a:r>
            <a:rPr lang="en-US" sz="1200"/>
            <a:t>.</a:t>
          </a:r>
          <a:r>
            <a:rPr lang="en-US" sz="1200" baseline="0"/>
            <a:t>  </a:t>
          </a:r>
          <a:br>
            <a:rPr lang="en-US" sz="1200" baseline="0"/>
          </a:br>
          <a:r>
            <a:rPr lang="en-US" sz="1200" baseline="0"/>
            <a:t>If you would like to see what would happen if you relamp with TLEDs, </a:t>
          </a:r>
          <a:br>
            <a:rPr lang="en-US" sz="1200" baseline="0"/>
          </a:br>
          <a:r>
            <a:rPr lang="en-US" sz="1200" baseline="0"/>
            <a:t>please hit the button next to your choice.</a:t>
          </a:r>
        </a:p>
        <a:p>
          <a:pPr algn="ctr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You will then need to choose ;</a:t>
          </a:r>
        </a:p>
        <a:p>
          <a:pPr algn="l"/>
          <a:r>
            <a:rPr lang="en-US" sz="1200" baseline="0"/>
            <a:t>			-your electric rate per kWh</a:t>
          </a:r>
        </a:p>
        <a:p>
          <a:pPr algn="l"/>
          <a:r>
            <a:rPr lang="en-US" sz="1200" baseline="0"/>
            <a:t>			-how many fixtures you want to replace</a:t>
          </a:r>
        </a:p>
        <a:p>
          <a:r>
            <a:rPr lang="en-US" sz="1200" baseline="0"/>
            <a:t>			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-how many lamps per those fixtures</a:t>
          </a:r>
          <a:endParaRPr lang="en-US" sz="1200">
            <a:effectLst/>
          </a:endParaRPr>
        </a:p>
        <a:p>
          <a:r>
            <a:rPr lang="en-US" sz="1200" baseline="0"/>
            <a:t>			-how many hours per day they burn</a:t>
          </a:r>
        </a:p>
        <a:p>
          <a:pPr algn="l"/>
          <a:r>
            <a:rPr lang="en-US" sz="1200" baseline="0"/>
            <a:t>			-how many days per week they burn</a:t>
          </a:r>
        </a:p>
        <a:p>
          <a:pPr algn="ctr"/>
          <a:endParaRPr lang="en-US" sz="1200" baseline="0"/>
        </a:p>
        <a:p>
          <a:pPr algn="ctr"/>
          <a:r>
            <a:rPr lang="en-US" sz="1200" baseline="0"/>
            <a:t>You will then need to choose the appropriate lamp to use as a replacement.  </a:t>
          </a:r>
          <a:br>
            <a:rPr lang="en-US" sz="1200" baseline="0"/>
          </a:br>
          <a:r>
            <a:rPr lang="en-US" sz="1200" baseline="0"/>
            <a:t>Place your cursor in the yellow cell marked </a:t>
          </a:r>
          <a:r>
            <a:rPr lang="en-US" sz="1200" b="1" baseline="0">
              <a:solidFill>
                <a:srgbClr val="FF0000"/>
              </a:solidFill>
            </a:rPr>
            <a:t>CHOOSE TLED REPLACEMENT</a:t>
          </a:r>
          <a:r>
            <a:rPr lang="en-US" sz="1200" b="1" baseline="0"/>
            <a:t/>
          </a:r>
          <a:br>
            <a:rPr lang="en-US" sz="1200" b="1" baseline="0"/>
          </a:br>
          <a:r>
            <a:rPr lang="en-US" sz="1200" baseline="0"/>
            <a:t>You will be offered several choices.  </a:t>
          </a:r>
          <a:br>
            <a:rPr lang="en-US" sz="1200" baseline="0"/>
          </a:br>
          <a:r>
            <a:rPr lang="en-US" sz="1200" baseline="0"/>
            <a:t>Make your choice and hit the </a:t>
          </a:r>
          <a:r>
            <a:rPr lang="en-US" sz="1200" b="1" baseline="0">
              <a:solidFill>
                <a:srgbClr val="4556F9"/>
              </a:solidFill>
            </a:rPr>
            <a:t>Proceed to Results Page</a:t>
          </a:r>
          <a:r>
            <a:rPr lang="en-US" sz="1200" baseline="0"/>
            <a:t> button.</a:t>
          </a:r>
        </a:p>
        <a:p>
          <a:pPr algn="ctr"/>
          <a:r>
            <a:rPr lang="en-US" sz="1200" baseline="0"/>
            <a:t>The calculator will immediately tell you what your annual savings and costs look like, </a:t>
          </a:r>
          <a:br>
            <a:rPr lang="en-US" sz="1200" baseline="0"/>
          </a:br>
          <a:r>
            <a:rPr lang="en-US" sz="1200" baseline="0"/>
            <a:t>along with your carbon footprint reduction.</a:t>
          </a:r>
        </a:p>
        <a:p>
          <a:pPr algn="ctr"/>
          <a:endParaRPr lang="en-US" sz="1200" baseline="0"/>
        </a:p>
        <a:p>
          <a:pPr algn="ctr"/>
          <a:r>
            <a:rPr lang="en-US" sz="1200" baseline="0"/>
            <a:t>If you'd like to see what happens with your entire facility, choose each type of fixture you have and</a:t>
          </a:r>
          <a:br>
            <a:rPr lang="en-US" sz="1200" baseline="0"/>
          </a:br>
          <a:r>
            <a:rPr lang="en-US" sz="1200" baseline="0"/>
            <a:t> the proper lamp replacements, then hit the </a:t>
          </a:r>
          <a:r>
            <a:rPr lang="en-US" sz="1200" b="1" baseline="0"/>
            <a:t>ADD LINE ITEM TO PROJECT </a:t>
          </a:r>
          <a:r>
            <a:rPr lang="en-US" sz="1200" baseline="0"/>
            <a:t>button </a:t>
          </a:r>
          <a:r>
            <a:rPr lang="en-US" sz="1200" u="sng" baseline="0"/>
            <a:t>each time </a:t>
          </a:r>
          <a:r>
            <a:rPr lang="en-US" sz="1200" baseline="0"/>
            <a:t>you add a new one.   </a:t>
          </a:r>
        </a:p>
        <a:p>
          <a:pPr algn="ctr"/>
          <a:endParaRPr lang="en-US" sz="1200" baseline="0"/>
        </a:p>
        <a:p>
          <a:pPr algn="ctr"/>
          <a:r>
            <a:rPr lang="en-US" sz="1200" baseline="0"/>
            <a:t>When you're through, hit the </a:t>
          </a:r>
          <a:r>
            <a:rPr lang="en-US" sz="1200" b="1" baseline="0"/>
            <a:t>TOTALS</a:t>
          </a:r>
          <a:r>
            <a:rPr lang="en-US" sz="1200" baseline="0"/>
            <a:t> button on the</a:t>
          </a:r>
          <a:r>
            <a:rPr lang="en-US" sz="1200" b="1" baseline="0"/>
            <a:t> Project </a:t>
          </a:r>
          <a:r>
            <a:rPr lang="en-US" sz="1200" baseline="0"/>
            <a:t>page,</a:t>
          </a:r>
          <a:br>
            <a:rPr lang="en-US" sz="1200" baseline="0"/>
          </a:br>
          <a:r>
            <a:rPr lang="en-US" sz="1200" baseline="0"/>
            <a:t> and you will have a a simple scope for your complete TLED energy upgrade.</a:t>
          </a:r>
          <a:endParaRPr lang="en-US" sz="1200"/>
        </a:p>
      </xdr:txBody>
    </xdr:sp>
    <xdr:clientData/>
  </xdr:twoCellAnchor>
  <xdr:twoCellAnchor editAs="oneCell">
    <xdr:from>
      <xdr:col>8</xdr:col>
      <xdr:colOff>223952</xdr:colOff>
      <xdr:row>0</xdr:row>
      <xdr:rowOff>247072</xdr:rowOff>
    </xdr:from>
    <xdr:to>
      <xdr:col>11</xdr:col>
      <xdr:colOff>81983</xdr:colOff>
      <xdr:row>0</xdr:row>
      <xdr:rowOff>640367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9495" y="247072"/>
          <a:ext cx="1719488" cy="393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1773011</xdr:colOff>
      <xdr:row>9</xdr:row>
      <xdr:rowOff>0</xdr:rowOff>
    </xdr:from>
    <xdr:to>
      <xdr:col>5</xdr:col>
      <xdr:colOff>1773011</xdr:colOff>
      <xdr:row>10</xdr:row>
      <xdr:rowOff>96931</xdr:rowOff>
    </xdr:to>
    <xdr:pic macro="[0]!reb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086" y="3145971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5</xdr:col>
      <xdr:colOff>1775733</xdr:colOff>
      <xdr:row>9</xdr:row>
      <xdr:rowOff>0</xdr:rowOff>
    </xdr:from>
    <xdr:to>
      <xdr:col>5</xdr:col>
      <xdr:colOff>1775733</xdr:colOff>
      <xdr:row>9</xdr:row>
      <xdr:rowOff>123825</xdr:rowOff>
    </xdr:to>
    <xdr:pic macro="[0]!epct"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6808" y="3473903"/>
          <a:ext cx="200025" cy="200025"/>
        </a:xfrm>
        <a:prstGeom prst="rect">
          <a:avLst/>
        </a:prstGeom>
      </xdr:spPr>
    </xdr:pic>
    <xdr:clientData/>
  </xdr:twoCellAnchor>
  <xdr:twoCellAnchor editAs="oneCell">
    <xdr:from>
      <xdr:col>6</xdr:col>
      <xdr:colOff>402771</xdr:colOff>
      <xdr:row>9</xdr:row>
      <xdr:rowOff>0</xdr:rowOff>
    </xdr:from>
    <xdr:to>
      <xdr:col>6</xdr:col>
      <xdr:colOff>405946</xdr:colOff>
      <xdr:row>9</xdr:row>
      <xdr:rowOff>141834</xdr:rowOff>
    </xdr:to>
    <xdr:pic macro="[0]!inpt"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0146" y="6611712"/>
          <a:ext cx="3302000" cy="378278"/>
        </a:xfrm>
        <a:prstGeom prst="rect">
          <a:avLst/>
        </a:prstGeom>
      </xdr:spPr>
    </xdr:pic>
    <xdr:clientData/>
  </xdr:twoCellAnchor>
  <xdr:twoCellAnchor>
    <xdr:from>
      <xdr:col>4</xdr:col>
      <xdr:colOff>352787</xdr:colOff>
      <xdr:row>7</xdr:row>
      <xdr:rowOff>65038</xdr:rowOff>
    </xdr:from>
    <xdr:to>
      <xdr:col>11</xdr:col>
      <xdr:colOff>98250</xdr:colOff>
      <xdr:row>27</xdr:row>
      <xdr:rowOff>91933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302561</xdr:colOff>
      <xdr:row>0</xdr:row>
      <xdr:rowOff>142875</xdr:rowOff>
    </xdr:from>
    <xdr:to>
      <xdr:col>1</xdr:col>
      <xdr:colOff>2165100</xdr:colOff>
      <xdr:row>2</xdr:row>
      <xdr:rowOff>254934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2561" y="142875"/>
          <a:ext cx="2469758" cy="540684"/>
        </a:xfrm>
        <a:prstGeom prst="rect">
          <a:avLst/>
        </a:prstGeom>
      </xdr:spPr>
    </xdr:pic>
    <xdr:clientData/>
  </xdr:twoCellAnchor>
  <xdr:twoCellAnchor editAs="oneCell">
    <xdr:from>
      <xdr:col>6</xdr:col>
      <xdr:colOff>100853</xdr:colOff>
      <xdr:row>32</xdr:row>
      <xdr:rowOff>80141</xdr:rowOff>
    </xdr:from>
    <xdr:to>
      <xdr:col>9</xdr:col>
      <xdr:colOff>291354</xdr:colOff>
      <xdr:row>35</xdr:row>
      <xdr:rowOff>153375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76882" y="6691612"/>
          <a:ext cx="3070412" cy="6447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nh76394/Application%20Data/Microsoft/Excel/20111025%20NAM%20Prof%20W1%202012_v4%20deletechangea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ly B,C level"/>
      <sheetName val="SCM input"/>
      <sheetName val="DropDown Source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A1"/>
  <sheetViews>
    <sheetView showGridLines="0" zoomScale="80" zoomScaleNormal="80" workbookViewId="0">
      <selection activeCell="V25" sqref="V25"/>
    </sheetView>
  </sheetViews>
  <sheetFormatPr defaultRowHeight="15"/>
  <sheetData/>
  <sheetProtection password="DD67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B2"/>
  <sheetViews>
    <sheetView showGridLines="0" showRowColHeaders="0" zoomScale="70" zoomScaleNormal="70" workbookViewId="0">
      <selection activeCell="V25" sqref="V25"/>
    </sheetView>
  </sheetViews>
  <sheetFormatPr defaultColWidth="9.140625" defaultRowHeight="15"/>
  <cols>
    <col min="1" max="1" width="3.85546875" style="2" customWidth="1"/>
    <col min="2" max="16384" width="9.140625" style="2"/>
  </cols>
  <sheetData>
    <row r="1" spans="2:2" ht="54.75" customHeight="1"/>
    <row r="2" spans="2:2" ht="28.5" customHeight="1">
      <c r="B2" s="3" t="s">
        <v>0</v>
      </c>
    </row>
  </sheetData>
  <sheetProtection password="DD67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W46"/>
  <sheetViews>
    <sheetView showGridLines="0" tabSelected="1" zoomScale="70" zoomScaleNormal="70" workbookViewId="0">
      <selection activeCell="G3" sqref="G3:J3"/>
    </sheetView>
  </sheetViews>
  <sheetFormatPr defaultRowHeight="15"/>
  <cols>
    <col min="2" max="2" width="41.140625" customWidth="1"/>
    <col min="3" max="3" width="15" customWidth="1"/>
    <col min="4" max="4" width="5.85546875" customWidth="1"/>
    <col min="6" max="6" width="44.42578125" customWidth="1"/>
    <col min="7" max="7" width="25" customWidth="1"/>
    <col min="12" max="12" width="9.140625" style="40"/>
    <col min="13" max="13" width="23" style="40" bestFit="1" customWidth="1"/>
    <col min="14" max="14" width="10.28515625" style="40" bestFit="1" customWidth="1"/>
    <col min="15" max="16" width="12.42578125" style="40" bestFit="1" customWidth="1"/>
    <col min="17" max="17" width="13.140625" style="40" bestFit="1" customWidth="1"/>
    <col min="18" max="18" width="12.85546875" style="40" customWidth="1"/>
    <col min="19" max="19" width="13.7109375" style="40" customWidth="1"/>
    <col min="20" max="20" width="12" style="40" customWidth="1"/>
    <col min="21" max="21" width="9.140625" style="40"/>
  </cols>
  <sheetData>
    <row r="1" spans="2:23" ht="18.75">
      <c r="G1" s="20" t="s">
        <v>70</v>
      </c>
    </row>
    <row r="3" spans="2:23" ht="28.5">
      <c r="G3" s="54" t="s">
        <v>72</v>
      </c>
      <c r="H3" s="54"/>
      <c r="I3" s="54"/>
      <c r="J3" s="54"/>
      <c r="K3" s="16"/>
      <c r="V3" s="16"/>
    </row>
    <row r="4" spans="2:23" ht="18.75">
      <c r="D4" s="16"/>
      <c r="E4" s="16"/>
      <c r="F4" s="21"/>
      <c r="G4" s="22"/>
      <c r="H4" s="16"/>
      <c r="I4" s="16"/>
      <c r="J4" s="16"/>
      <c r="K4" s="16"/>
      <c r="V4" s="16"/>
    </row>
    <row r="5" spans="2:23">
      <c r="D5" s="16"/>
      <c r="E5" s="16"/>
      <c r="F5" s="16"/>
      <c r="G5" s="16"/>
      <c r="H5" s="16"/>
      <c r="I5" s="16"/>
      <c r="J5" s="16"/>
      <c r="K5" s="16"/>
      <c r="V5" s="16"/>
    </row>
    <row r="6" spans="2:23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V6" s="16"/>
    </row>
    <row r="7" spans="2:23">
      <c r="D7" s="16"/>
      <c r="E7" s="23"/>
      <c r="F7" s="23"/>
      <c r="G7" s="23"/>
      <c r="H7" s="23"/>
      <c r="I7" s="23"/>
      <c r="J7" s="23"/>
      <c r="K7" s="16"/>
      <c r="L7" s="16"/>
      <c r="M7" s="16"/>
      <c r="N7" s="16"/>
      <c r="O7" s="16"/>
      <c r="P7" s="16"/>
      <c r="Q7" s="16"/>
      <c r="R7" s="16"/>
      <c r="S7" s="16"/>
      <c r="T7" s="16"/>
      <c r="V7" s="16"/>
    </row>
    <row r="8" spans="2:23" ht="28.5" customHeight="1">
      <c r="B8" s="51" t="s">
        <v>54</v>
      </c>
      <c r="C8" s="52"/>
      <c r="D8" s="16"/>
      <c r="E8" s="23"/>
      <c r="F8" s="24" t="s">
        <v>32</v>
      </c>
      <c r="G8" s="25" t="str">
        <f>B16</f>
        <v>25W 48" T8</v>
      </c>
      <c r="H8" s="23"/>
      <c r="I8" s="23"/>
      <c r="J8" s="23"/>
      <c r="K8" s="16"/>
      <c r="L8" s="16"/>
      <c r="M8" s="41" t="s">
        <v>61</v>
      </c>
      <c r="T8" s="16"/>
      <c r="V8" s="16"/>
    </row>
    <row r="9" spans="2:23" ht="21" customHeight="1" thickBot="1">
      <c r="B9" s="4" t="s">
        <v>19</v>
      </c>
      <c r="C9" s="34">
        <v>10</v>
      </c>
      <c r="D9" s="16"/>
      <c r="E9" s="23"/>
      <c r="F9" s="24" t="s">
        <v>33</v>
      </c>
      <c r="G9" s="25" t="str">
        <f>B25</f>
        <v>453613 - 12T8/48-5000 IF - 5000K</v>
      </c>
      <c r="H9" s="23"/>
      <c r="I9" s="23"/>
      <c r="J9" s="23"/>
      <c r="K9" s="16"/>
      <c r="L9" s="16"/>
      <c r="M9" s="40" t="s">
        <v>57</v>
      </c>
      <c r="N9" s="40">
        <v>0</v>
      </c>
      <c r="O9" s="40">
        <v>1</v>
      </c>
      <c r="P9" s="40">
        <v>2</v>
      </c>
      <c r="Q9" s="40">
        <v>3</v>
      </c>
      <c r="R9" s="40">
        <v>4</v>
      </c>
      <c r="S9" s="40">
        <v>5</v>
      </c>
      <c r="T9" s="16"/>
      <c r="V9" s="16"/>
      <c r="W9" s="16"/>
    </row>
    <row r="10" spans="2:23" ht="21" customHeight="1" thickTop="1" thickBot="1">
      <c r="B10" s="4" t="s">
        <v>20</v>
      </c>
      <c r="C10" s="34">
        <v>2</v>
      </c>
      <c r="D10" s="16"/>
      <c r="E10" s="23"/>
      <c r="F10" s="26" t="str">
        <f>"Estimated Lighting Costs Using a "&amp;B16&amp;" Lamp"</f>
        <v>Estimated Lighting Costs Using a 25W 48" T8 Lamp</v>
      </c>
      <c r="G10" s="23"/>
      <c r="H10" s="23"/>
      <c r="I10" s="23"/>
      <c r="J10" s="23"/>
      <c r="K10" s="16"/>
      <c r="L10" s="16"/>
      <c r="M10" s="40" t="s">
        <v>62</v>
      </c>
      <c r="N10" s="40">
        <v>0</v>
      </c>
      <c r="O10" s="40">
        <f>$C$13*O9</f>
        <v>4368</v>
      </c>
      <c r="P10" s="40">
        <f t="shared" ref="P10:S10" si="0">$C$13*P9</f>
        <v>8736</v>
      </c>
      <c r="Q10" s="40">
        <f t="shared" si="0"/>
        <v>13104</v>
      </c>
      <c r="R10" s="40">
        <f t="shared" si="0"/>
        <v>17472</v>
      </c>
      <c r="S10" s="40">
        <f t="shared" si="0"/>
        <v>21840</v>
      </c>
      <c r="T10" s="16"/>
      <c r="V10" s="16"/>
      <c r="W10" s="16"/>
    </row>
    <row r="11" spans="2:23" ht="21" customHeight="1" thickTop="1" thickBot="1">
      <c r="B11" s="4" t="s">
        <v>21</v>
      </c>
      <c r="C11" s="34">
        <v>12</v>
      </c>
      <c r="D11" s="16"/>
      <c r="E11" s="23"/>
      <c r="F11" s="23" t="s">
        <v>52</v>
      </c>
      <c r="G11" s="27">
        <f>LEFT(B16,2)*C20*C9*C10</f>
        <v>440</v>
      </c>
      <c r="H11" s="23"/>
      <c r="I11" s="23"/>
      <c r="J11" s="23"/>
      <c r="K11" s="16"/>
      <c r="L11" s="16"/>
      <c r="M11" s="40" t="s">
        <v>58</v>
      </c>
      <c r="N11" s="42">
        <f>G15</f>
        <v>58</v>
      </c>
      <c r="O11" s="42">
        <f>G14+G15</f>
        <v>269.41120000000001</v>
      </c>
      <c r="P11" s="42">
        <f>$G$14+O11</f>
        <v>480.82240000000002</v>
      </c>
      <c r="Q11" s="42">
        <f t="shared" ref="Q11:S11" si="1">$G$14+P11</f>
        <v>692.23360000000002</v>
      </c>
      <c r="R11" s="42">
        <f t="shared" si="1"/>
        <v>903.64480000000003</v>
      </c>
      <c r="S11" s="42">
        <f t="shared" si="1"/>
        <v>1115.056</v>
      </c>
      <c r="T11" s="16"/>
      <c r="U11" s="42"/>
      <c r="V11" s="16"/>
      <c r="W11" s="16"/>
    </row>
    <row r="12" spans="2:23" ht="21" customHeight="1" thickTop="1">
      <c r="B12" s="4" t="s">
        <v>22</v>
      </c>
      <c r="C12" s="38">
        <v>7</v>
      </c>
      <c r="D12" s="16"/>
      <c r="E12" s="23"/>
      <c r="F12" s="23" t="s">
        <v>39</v>
      </c>
      <c r="G12" s="23">
        <f>C13</f>
        <v>4368</v>
      </c>
      <c r="H12" s="23"/>
      <c r="I12" s="23"/>
      <c r="J12" s="23"/>
      <c r="K12" s="16"/>
      <c r="L12" s="16"/>
      <c r="O12" s="42"/>
      <c r="P12" s="42"/>
      <c r="Q12" s="42"/>
      <c r="R12" s="42"/>
      <c r="S12" s="42"/>
      <c r="T12" s="16"/>
      <c r="V12" s="16"/>
      <c r="W12" s="16"/>
    </row>
    <row r="13" spans="2:23" ht="36" customHeight="1">
      <c r="B13" s="4" t="s">
        <v>18</v>
      </c>
      <c r="C13" s="39">
        <f>(C11*C12)*52</f>
        <v>4368</v>
      </c>
      <c r="D13" s="16"/>
      <c r="E13" s="23"/>
      <c r="F13" s="23" t="s">
        <v>53</v>
      </c>
      <c r="G13" s="27">
        <f>G11*G12/1000</f>
        <v>1921.92</v>
      </c>
      <c r="H13" s="23"/>
      <c r="I13" s="23"/>
      <c r="J13" s="23"/>
      <c r="K13" s="16"/>
      <c r="L13" s="16"/>
      <c r="M13" s="40" t="s">
        <v>59</v>
      </c>
      <c r="N13" s="42">
        <f>G23</f>
        <v>160</v>
      </c>
      <c r="O13" s="42">
        <f>G22+G23</f>
        <v>299.33920000000001</v>
      </c>
      <c r="P13" s="42">
        <f>$G$22+O13</f>
        <v>438.67840000000001</v>
      </c>
      <c r="Q13" s="42">
        <f t="shared" ref="Q13:S13" si="2">$G$22+P13</f>
        <v>578.01760000000002</v>
      </c>
      <c r="R13" s="42">
        <f t="shared" si="2"/>
        <v>717.35680000000002</v>
      </c>
      <c r="S13" s="42">
        <f t="shared" si="2"/>
        <v>856.69600000000003</v>
      </c>
      <c r="T13" s="16"/>
      <c r="V13" s="16"/>
      <c r="W13" s="16"/>
    </row>
    <row r="14" spans="2:23">
      <c r="D14" s="16"/>
      <c r="E14" s="23"/>
      <c r="F14" s="28" t="str">
        <f>"Existing System Energy Cost @ $"&amp;C21&amp;"/kWh"</f>
        <v>Existing System Energy Cost @ $0.11/kWh</v>
      </c>
      <c r="G14" s="29">
        <f>G13*C21</f>
        <v>211.41120000000001</v>
      </c>
      <c r="H14" s="23"/>
      <c r="I14" s="23"/>
      <c r="J14" s="23"/>
      <c r="K14" s="16"/>
      <c r="L14" s="16"/>
      <c r="M14" s="40" t="s">
        <v>60</v>
      </c>
      <c r="N14" s="42">
        <f t="shared" ref="N14:S14" si="3">N11-N13</f>
        <v>-102</v>
      </c>
      <c r="O14" s="42">
        <f t="shared" si="3"/>
        <v>-29.927999999999997</v>
      </c>
      <c r="P14" s="42">
        <f t="shared" si="3"/>
        <v>42.144000000000005</v>
      </c>
      <c r="Q14" s="42">
        <f t="shared" si="3"/>
        <v>114.21600000000001</v>
      </c>
      <c r="R14" s="42">
        <f t="shared" si="3"/>
        <v>186.28800000000001</v>
      </c>
      <c r="S14" s="42">
        <f t="shared" si="3"/>
        <v>258.36</v>
      </c>
      <c r="T14" s="16"/>
      <c r="V14" s="16"/>
      <c r="W14" s="16"/>
    </row>
    <row r="15" spans="2:23">
      <c r="B15" s="5" t="s">
        <v>55</v>
      </c>
      <c r="C15" s="5" t="s">
        <v>73</v>
      </c>
      <c r="D15" s="16"/>
      <c r="E15" s="23"/>
      <c r="F15" s="28" t="str">
        <f>"Lamp Cost ("&amp;C9&amp;" Fixtures*"&amp;C10&amp;" Lamps) @ $"&amp;C18&amp;"/Lamp"</f>
        <v>Lamp Cost (10 Fixtures*2 Lamps) @ $2.9/Lamp</v>
      </c>
      <c r="G15" s="29">
        <f>C18*C9*C10</f>
        <v>58</v>
      </c>
      <c r="H15" s="23"/>
      <c r="I15" s="23"/>
      <c r="J15" s="23"/>
      <c r="K15" s="16"/>
      <c r="L15" s="16"/>
      <c r="T15" s="16"/>
      <c r="V15" s="16"/>
    </row>
    <row r="16" spans="2:23" ht="15.75" thickBot="1">
      <c r="B16" s="35" t="s">
        <v>103</v>
      </c>
      <c r="C16" s="36">
        <v>2.5</v>
      </c>
      <c r="D16" s="16"/>
      <c r="E16" s="23"/>
      <c r="F16" s="30" t="s">
        <v>56</v>
      </c>
      <c r="G16" s="31">
        <f>SUM(G14:G15)</f>
        <v>269.41120000000001</v>
      </c>
      <c r="H16" s="23"/>
      <c r="I16" s="23"/>
      <c r="J16" s="23"/>
      <c r="K16" s="16"/>
      <c r="L16" s="16"/>
      <c r="T16" s="16"/>
      <c r="V16" s="16"/>
    </row>
    <row r="17" spans="2:22" ht="15.75" thickTop="1">
      <c r="B17" s="5" t="s">
        <v>66</v>
      </c>
      <c r="C17" s="36">
        <v>0.4</v>
      </c>
      <c r="D17" s="16"/>
      <c r="E17" s="23"/>
      <c r="F17" s="23"/>
      <c r="G17" s="32"/>
      <c r="H17" s="23"/>
      <c r="I17" s="23"/>
      <c r="J17" s="23"/>
      <c r="K17" s="16"/>
      <c r="L17" s="16"/>
      <c r="T17" s="16"/>
      <c r="V17" s="16"/>
    </row>
    <row r="18" spans="2:22">
      <c r="B18" s="5" t="s">
        <v>67</v>
      </c>
      <c r="C18" s="18">
        <f>SUM(C16:C17)</f>
        <v>2.9</v>
      </c>
      <c r="D18" s="16"/>
      <c r="E18" s="23"/>
      <c r="F18" s="26" t="str">
        <f>"Estimated Lighting Costs Using a Philips "&amp;B25&amp;" TLED"</f>
        <v>Estimated Lighting Costs Using a Philips 453613 - 12T8/48-5000 IF - 5000K TLED</v>
      </c>
      <c r="G18" s="23"/>
      <c r="H18" s="23"/>
      <c r="I18" s="23"/>
      <c r="J18" s="23"/>
      <c r="K18" s="16"/>
      <c r="L18" s="16"/>
      <c r="T18" s="16"/>
      <c r="V18" s="16"/>
    </row>
    <row r="19" spans="2:22">
      <c r="D19" s="16"/>
      <c r="E19" s="23"/>
      <c r="F19" s="23" t="s">
        <v>65</v>
      </c>
      <c r="G19" s="23">
        <f>IFERROR(VLOOKUP($B$25,'Pull-Down'!$E$3:$I$29,F27,FALSE)*C9*C10, 500)</f>
        <v>290</v>
      </c>
      <c r="H19" s="23"/>
      <c r="I19" s="23"/>
      <c r="J19" s="23"/>
      <c r="K19" s="16"/>
      <c r="L19" s="16"/>
      <c r="T19" s="16"/>
      <c r="V19" s="16"/>
    </row>
    <row r="20" spans="2:22">
      <c r="B20" s="5" t="s">
        <v>30</v>
      </c>
      <c r="C20" s="35">
        <v>0.88</v>
      </c>
      <c r="D20" s="16"/>
      <c r="E20" s="23"/>
      <c r="F20" s="23" t="s">
        <v>39</v>
      </c>
      <c r="G20" s="23">
        <f>G12</f>
        <v>4368</v>
      </c>
      <c r="H20" s="23"/>
      <c r="I20" s="23"/>
      <c r="J20" s="23"/>
      <c r="K20" s="16"/>
      <c r="L20" s="16"/>
      <c r="M20" s="43" t="s">
        <v>63</v>
      </c>
      <c r="N20" s="44">
        <f>(INTERCEPT(O13:S13,O9:S9)-INTERCEPT(O11:S11,O9:S9))/(SLOPE(O11:S11,O9:S9)-SLOPE(O13:S13,O9:S9))</f>
        <v>1.4152514152514153</v>
      </c>
      <c r="T20" s="16"/>
      <c r="V20" s="16"/>
    </row>
    <row r="21" spans="2:22">
      <c r="B21" s="5" t="s">
        <v>69</v>
      </c>
      <c r="C21" s="37">
        <v>0.11</v>
      </c>
      <c r="D21" s="16"/>
      <c r="E21" s="23"/>
      <c r="F21" s="23" t="s">
        <v>53</v>
      </c>
      <c r="G21" s="27">
        <f>G19*G20/1000</f>
        <v>1266.72</v>
      </c>
      <c r="H21" s="23"/>
      <c r="I21" s="23"/>
      <c r="J21" s="23"/>
      <c r="K21" s="16"/>
      <c r="L21" s="16"/>
      <c r="M21" s="43" t="s">
        <v>68</v>
      </c>
      <c r="N21" s="42">
        <f>SLOPE(O11:S11,O9:S9)*N20+INTERCEPT(O11:S11,O9:S9)</f>
        <v>357.20000000000005</v>
      </c>
      <c r="T21" s="16"/>
      <c r="V21" s="16"/>
    </row>
    <row r="22" spans="2:22">
      <c r="D22" s="16"/>
      <c r="E22" s="23"/>
      <c r="F22" s="28" t="str">
        <f>"Existing System Energy Cost @ $"&amp;C21&amp;"/kWh"</f>
        <v>Existing System Energy Cost @ $0.11/kWh</v>
      </c>
      <c r="G22" s="29">
        <f>G21*C21</f>
        <v>139.33920000000001</v>
      </c>
      <c r="H22" s="23"/>
      <c r="I22" s="23"/>
      <c r="J22" s="23"/>
      <c r="K22" s="16"/>
      <c r="L22" s="16"/>
      <c r="T22" s="16"/>
      <c r="V22" s="16"/>
    </row>
    <row r="23" spans="2:22">
      <c r="D23" s="16"/>
      <c r="E23" s="23"/>
      <c r="F23" s="28" t="str">
        <f>"Lamp Cost ("&amp;C9&amp;" Fixtures*"&amp;C10&amp;" Lamps) @ $"&amp;C27&amp;"/Lamp"</f>
        <v>Lamp Cost (10 Fixtures*2 Lamps) @ $8/Lamp</v>
      </c>
      <c r="G23" s="29">
        <f>C27*C9*C10</f>
        <v>160</v>
      </c>
      <c r="H23" s="23"/>
      <c r="I23" s="23"/>
      <c r="J23" s="23"/>
      <c r="K23" s="16"/>
      <c r="L23" s="16"/>
      <c r="T23" s="16"/>
      <c r="V23" s="16"/>
    </row>
    <row r="24" spans="2:22" ht="15.75" thickBot="1">
      <c r="B24" s="5" t="s">
        <v>64</v>
      </c>
      <c r="C24" s="5" t="s">
        <v>73</v>
      </c>
      <c r="D24" s="16"/>
      <c r="E24" s="23"/>
      <c r="F24" s="30" t="s">
        <v>56</v>
      </c>
      <c r="G24" s="31">
        <f>SUM(G22:G23)</f>
        <v>299.33920000000001</v>
      </c>
      <c r="H24" s="23"/>
      <c r="I24" s="23"/>
      <c r="J24" s="23"/>
      <c r="K24" s="16"/>
      <c r="V24" s="16"/>
    </row>
    <row r="25" spans="2:22" ht="15.75" thickTop="1">
      <c r="B25" s="35" t="s">
        <v>125</v>
      </c>
      <c r="C25" s="36">
        <v>8</v>
      </c>
      <c r="D25" s="16"/>
      <c r="E25" s="23"/>
      <c r="F25" s="23"/>
      <c r="G25" s="23"/>
      <c r="H25" s="23"/>
      <c r="I25" s="23"/>
      <c r="J25" s="23"/>
      <c r="K25" s="16"/>
      <c r="V25" s="16"/>
    </row>
    <row r="26" spans="2:22">
      <c r="B26" s="5" t="s">
        <v>107</v>
      </c>
      <c r="C26" s="36">
        <v>0</v>
      </c>
      <c r="D26" s="16"/>
      <c r="E26" s="23"/>
      <c r="F26" s="17">
        <f>IFERROR(MID(B16,5,2)*1,MID(B16,5,1))</f>
        <v>48</v>
      </c>
      <c r="G26" s="23"/>
      <c r="H26" s="23"/>
      <c r="I26" s="23"/>
      <c r="J26" s="23"/>
      <c r="K26" s="16"/>
      <c r="V26" s="16"/>
    </row>
    <row r="27" spans="2:22">
      <c r="B27" s="5" t="s">
        <v>112</v>
      </c>
      <c r="C27" s="18">
        <f>C25-C26</f>
        <v>8</v>
      </c>
      <c r="E27" s="17"/>
      <c r="F27" s="17">
        <f>IF(C20=0.77,3,IF(C20=0.88,4,5))</f>
        <v>4</v>
      </c>
      <c r="G27" s="17"/>
      <c r="H27" s="17"/>
      <c r="I27" s="17"/>
      <c r="J27" s="17"/>
      <c r="K27" s="16"/>
      <c r="V27" s="16"/>
    </row>
    <row r="28" spans="2:22">
      <c r="E28" s="17"/>
      <c r="F28" s="17"/>
      <c r="G28" s="17"/>
      <c r="H28" s="17"/>
      <c r="I28" s="17"/>
      <c r="J28" s="17"/>
      <c r="K28" s="16"/>
      <c r="V28" s="16"/>
    </row>
    <row r="29" spans="2:22" ht="21">
      <c r="B29" s="19"/>
      <c r="F29" s="12" t="s">
        <v>74</v>
      </c>
      <c r="G29" s="33">
        <f>N20</f>
        <v>1.4152514152514153</v>
      </c>
      <c r="H29" s="13" t="s">
        <v>71</v>
      </c>
    </row>
    <row r="30" spans="2:22" ht="21">
      <c r="F30" s="12" t="s">
        <v>114</v>
      </c>
      <c r="G30" s="15">
        <f>G13-G21</f>
        <v>655.20000000000005</v>
      </c>
      <c r="H30" s="13" t="s">
        <v>43</v>
      </c>
    </row>
    <row r="31" spans="2:22" ht="21">
      <c r="F31" s="12" t="s">
        <v>113</v>
      </c>
      <c r="G31" s="14">
        <f>G14-G22</f>
        <v>72.072000000000003</v>
      </c>
      <c r="H31" s="13"/>
    </row>
    <row r="33" spans="2:8">
      <c r="B33" s="49"/>
      <c r="G33" s="1"/>
    </row>
    <row r="35" spans="2:8">
      <c r="B35" s="47"/>
    </row>
    <row r="37" spans="2:8">
      <c r="B37" t="s">
        <v>115</v>
      </c>
      <c r="D37" s="11"/>
    </row>
    <row r="45" spans="2:8">
      <c r="H45" s="11"/>
    </row>
    <row r="46" spans="2:8">
      <c r="H46" s="11"/>
    </row>
  </sheetData>
  <sheetProtection password="C72B" sheet="1" objects="1" scenarios="1" selectLockedCells="1"/>
  <mergeCells count="2">
    <mergeCell ref="B8:C8"/>
    <mergeCell ref="G3:J3"/>
  </mergeCells>
  <conditionalFormatting sqref="G29">
    <cfRule type="cellIs" dxfId="0" priority="1" operator="lessThan">
      <formula>3</formula>
    </cfRule>
  </conditionalFormatting>
  <dataValidations xWindow="76" yWindow="661" count="8">
    <dataValidation type="whole" allowBlank="1" showInputMessage="1" showErrorMessage="1" sqref="C12">
      <formula1>1</formula1>
      <formula2>7</formula2>
    </dataValidation>
    <dataValidation type="whole" allowBlank="1" showInputMessage="1" showErrorMessage="1" sqref="C11">
      <formula1>1</formula1>
      <formula2>24</formula2>
    </dataValidation>
    <dataValidation type="whole" operator="greaterThanOrEqual" allowBlank="1" showInputMessage="1" showErrorMessage="1" sqref="C10">
      <formula1>1</formula1>
    </dataValidation>
    <dataValidation type="decimal" allowBlank="1" showErrorMessage="1" prompt="Enter the per lamp cost of the subject fluorescent lamp" sqref="C16">
      <formula1>0</formula1>
      <formula2>100</formula2>
    </dataValidation>
    <dataValidation type="decimal" allowBlank="1" showErrorMessage="1" prompt="Please enter the per lamp disposal cost the fluorescent lamp" sqref="C17">
      <formula1>0</formula1>
      <formula2>100</formula2>
    </dataValidation>
    <dataValidation type="decimal" allowBlank="1" showErrorMessage="1" prompt="Enter the lamp cost per InstantFit LED" sqref="C25">
      <formula1>0</formula1>
      <formula2>100</formula2>
    </dataValidation>
    <dataValidation type="decimal" allowBlank="1" showErrorMessage="1" prompt="If eligible, enter the per lamp rebate for the InstantFit LED" sqref="C26">
      <formula1>0</formula1>
      <formula2>100</formula2>
    </dataValidation>
    <dataValidation type="whole" operator="greaterThan" allowBlank="1" showInputMessage="1" showErrorMessage="1" sqref="C9">
      <formula1>0</formula1>
    </dataValidation>
  </dataValidations>
  <printOptions horizontalCentered="1"/>
  <pageMargins left="0.45" right="0.45" top="0.5" bottom="0.5" header="0.3" footer="0.3"/>
  <pageSetup scale="73" fitToHeight="0" orientation="landscape" cellComments="atEnd" r:id="rId1"/>
  <headerFooter>
    <oddFooter>Prepared by Philips &amp;D&amp;RPage &amp;P</oddFooter>
  </headerFooter>
  <ignoredErrors>
    <ignoredError sqref="N20:N21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76" yWindow="661" count="4">
        <x14:dataValidation type="list" allowBlank="1" showErrorMessage="1" prompt="Select the fluorescent lamp from drop-down list">
          <x14:formula1>
            <xm:f>'Pull-Down'!$A$4:$A$10</xm:f>
          </x14:formula1>
          <xm:sqref>B16</xm:sqref>
        </x14:dataValidation>
        <x14:dataValidation type="list" allowBlank="1" showErrorMessage="1" prompt="Select ballast factor from drop-down list">
          <x14:formula1>
            <xm:f>'Pull-Down'!$F$4:$F$6</xm:f>
          </x14:formula1>
          <xm:sqref>C20</xm:sqref>
        </x14:dataValidation>
        <x14:dataValidation type="list" allowBlank="1" showErrorMessage="1" prompt="Select energy rate (per kWh) from drop down list">
          <x14:formula1>
            <xm:f>'Pull-Down'!$J$4:$J$50</xm:f>
          </x14:formula1>
          <xm:sqref>C21</xm:sqref>
        </x14:dataValidation>
        <x14:dataValidation type="list" allowBlank="1" showErrorMessage="1" promptTitle="InstantFit Lamp Selection" prompt="Select your InstantFit LED from the drop-down list">
          <x14:formula1>
            <xm:f>IF(F26=48,'Pull-Down'!$E$4:$E$17,IF(F26=36,'Pull-Down'!$E$18:$E$21,IF(F26=24,'Pull-Down'!$E$22:$E$25,IF(F26="U",'Pull-Down'!$E$26:$E$29,'Pull-Down'!$E$30:$E$33))))</xm:f>
          </x14:formula1>
          <xm:sqref>B25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zoomScale="85" zoomScaleNormal="85" workbookViewId="0">
      <pane ySplit="3" topLeftCell="A4" activePane="bottomLeft" state="frozen"/>
      <selection pane="bottomLeft" activeCell="E12" sqref="E12:E13"/>
    </sheetView>
  </sheetViews>
  <sheetFormatPr defaultRowHeight="15"/>
  <cols>
    <col min="1" max="1" width="21.85546875" bestFit="1" customWidth="1"/>
    <col min="2" max="4" width="10.5703125" customWidth="1"/>
    <col min="5" max="5" width="36.42578125" bestFit="1" customWidth="1"/>
    <col min="6" max="6" width="15.7109375" customWidth="1"/>
    <col min="7" max="8" width="14.140625" customWidth="1"/>
    <col min="9" max="9" width="13.42578125" customWidth="1"/>
    <col min="10" max="10" width="11.42578125" bestFit="1" customWidth="1"/>
  </cols>
  <sheetData>
    <row r="1" spans="1:10">
      <c r="B1" s="53" t="s">
        <v>100</v>
      </c>
      <c r="C1" s="53"/>
      <c r="D1" s="53"/>
      <c r="G1" s="53" t="s">
        <v>99</v>
      </c>
      <c r="H1" s="53"/>
      <c r="I1" s="53"/>
    </row>
    <row r="2" spans="1:10">
      <c r="B2" s="46">
        <v>0.77</v>
      </c>
      <c r="C2" s="46">
        <v>0.88</v>
      </c>
      <c r="D2" s="46">
        <v>1.18</v>
      </c>
      <c r="G2" s="46"/>
      <c r="H2" s="46"/>
      <c r="I2" s="46"/>
    </row>
    <row r="3" spans="1:10" s="48" customFormat="1" ht="45">
      <c r="A3" s="48" t="s">
        <v>23</v>
      </c>
      <c r="B3" s="48" t="s">
        <v>96</v>
      </c>
      <c r="C3" s="48" t="s">
        <v>97</v>
      </c>
      <c r="D3" s="48" t="s">
        <v>98</v>
      </c>
      <c r="E3" s="48" t="s">
        <v>28</v>
      </c>
      <c r="F3" s="48" t="s">
        <v>31</v>
      </c>
      <c r="G3" s="48" t="s">
        <v>109</v>
      </c>
      <c r="H3" s="48" t="s">
        <v>110</v>
      </c>
      <c r="I3" s="48" t="s">
        <v>111</v>
      </c>
      <c r="J3" s="48" t="s">
        <v>29</v>
      </c>
    </row>
    <row r="4" spans="1:10">
      <c r="A4" t="s">
        <v>105</v>
      </c>
      <c r="B4">
        <f>ROUND(LEFT($A4,2)*B$2,1)</f>
        <v>24.6</v>
      </c>
      <c r="C4">
        <f t="shared" ref="C4:D10" si="0">ROUND(LEFT($A4,2)*C$2,1)</f>
        <v>28.2</v>
      </c>
      <c r="D4">
        <f t="shared" si="0"/>
        <v>37.799999999999997</v>
      </c>
      <c r="E4" t="s">
        <v>80</v>
      </c>
      <c r="F4">
        <v>0.77</v>
      </c>
      <c r="G4">
        <v>17.5</v>
      </c>
      <c r="H4">
        <v>19</v>
      </c>
      <c r="I4">
        <v>25.5</v>
      </c>
      <c r="J4" s="1">
        <v>0.04</v>
      </c>
    </row>
    <row r="5" spans="1:10">
      <c r="A5" t="s">
        <v>104</v>
      </c>
      <c r="B5">
        <f t="shared" ref="B5:B10" si="1">ROUND(LEFT($A5,2)*B$2,1)</f>
        <v>21.6</v>
      </c>
      <c r="C5">
        <f t="shared" si="0"/>
        <v>24.6</v>
      </c>
      <c r="D5">
        <f t="shared" si="0"/>
        <v>33</v>
      </c>
      <c r="E5" t="s">
        <v>81</v>
      </c>
      <c r="F5">
        <v>0.88</v>
      </c>
      <c r="G5">
        <v>17.5</v>
      </c>
      <c r="H5">
        <v>19</v>
      </c>
      <c r="I5">
        <v>25.5</v>
      </c>
      <c r="J5" s="1">
        <v>0.05</v>
      </c>
    </row>
    <row r="6" spans="1:10">
      <c r="A6" t="s">
        <v>103</v>
      </c>
      <c r="B6">
        <f t="shared" si="1"/>
        <v>19.3</v>
      </c>
      <c r="C6">
        <f t="shared" si="0"/>
        <v>22</v>
      </c>
      <c r="D6">
        <f t="shared" si="0"/>
        <v>29.5</v>
      </c>
      <c r="E6" t="s">
        <v>82</v>
      </c>
      <c r="F6">
        <v>1.18</v>
      </c>
      <c r="G6">
        <v>17.5</v>
      </c>
      <c r="H6">
        <v>19</v>
      </c>
      <c r="I6">
        <v>25.5</v>
      </c>
      <c r="J6" s="1">
        <v>0.06</v>
      </c>
    </row>
    <row r="7" spans="1:10">
      <c r="A7" t="s">
        <v>102</v>
      </c>
      <c r="B7">
        <f t="shared" si="1"/>
        <v>13.1</v>
      </c>
      <c r="C7">
        <f t="shared" si="0"/>
        <v>15</v>
      </c>
      <c r="D7">
        <f t="shared" si="0"/>
        <v>20.100000000000001</v>
      </c>
      <c r="E7" t="s">
        <v>83</v>
      </c>
      <c r="G7">
        <v>17.5</v>
      </c>
      <c r="H7">
        <v>19</v>
      </c>
      <c r="I7">
        <v>25.5</v>
      </c>
      <c r="J7" s="1">
        <v>7.0000000000000007E-2</v>
      </c>
    </row>
    <row r="8" spans="1:10">
      <c r="A8" t="s">
        <v>101</v>
      </c>
      <c r="B8">
        <f t="shared" si="1"/>
        <v>19.3</v>
      </c>
      <c r="C8">
        <f t="shared" si="0"/>
        <v>22</v>
      </c>
      <c r="D8">
        <f t="shared" si="0"/>
        <v>29.5</v>
      </c>
      <c r="E8" t="s">
        <v>128</v>
      </c>
      <c r="G8">
        <v>12.5</v>
      </c>
      <c r="H8">
        <v>14.5</v>
      </c>
      <c r="I8">
        <v>18.5</v>
      </c>
      <c r="J8" s="1">
        <v>0.08</v>
      </c>
    </row>
    <row r="9" spans="1:10">
      <c r="A9" t="s">
        <v>106</v>
      </c>
      <c r="B9">
        <f t="shared" si="1"/>
        <v>24.6</v>
      </c>
      <c r="C9">
        <f t="shared" si="0"/>
        <v>28.2</v>
      </c>
      <c r="D9">
        <f t="shared" si="0"/>
        <v>37.799999999999997</v>
      </c>
      <c r="E9" t="s">
        <v>127</v>
      </c>
      <c r="G9">
        <v>12.5</v>
      </c>
      <c r="H9">
        <v>14.5</v>
      </c>
      <c r="I9">
        <v>18.5</v>
      </c>
      <c r="J9" s="1">
        <v>0.09</v>
      </c>
    </row>
    <row r="10" spans="1:10">
      <c r="A10" t="s">
        <v>130</v>
      </c>
      <c r="B10" s="50">
        <f t="shared" si="1"/>
        <v>30.8</v>
      </c>
      <c r="C10" s="50">
        <f t="shared" si="0"/>
        <v>35.200000000000003</v>
      </c>
      <c r="D10" s="50">
        <f t="shared" si="0"/>
        <v>47.2</v>
      </c>
      <c r="E10" t="s">
        <v>126</v>
      </c>
      <c r="G10">
        <v>12.5</v>
      </c>
      <c r="H10">
        <v>14.5</v>
      </c>
      <c r="I10">
        <v>18.5</v>
      </c>
      <c r="J10" s="1">
        <v>0.1</v>
      </c>
    </row>
    <row r="11" spans="1:10">
      <c r="E11" t="s">
        <v>125</v>
      </c>
      <c r="G11">
        <v>12.5</v>
      </c>
      <c r="H11">
        <v>14.5</v>
      </c>
      <c r="I11">
        <v>18.5</v>
      </c>
      <c r="J11" s="1">
        <v>0.11</v>
      </c>
    </row>
    <row r="12" spans="1:10">
      <c r="E12" t="s">
        <v>135</v>
      </c>
      <c r="G12" s="50">
        <v>18</v>
      </c>
      <c r="H12" s="50">
        <v>20</v>
      </c>
      <c r="I12" s="50">
        <v>24</v>
      </c>
      <c r="J12" s="1">
        <v>0.12</v>
      </c>
    </row>
    <row r="13" spans="1:10">
      <c r="E13" t="s">
        <v>136</v>
      </c>
      <c r="G13" s="50">
        <v>18</v>
      </c>
      <c r="H13" s="50">
        <v>20</v>
      </c>
      <c r="I13" s="50">
        <v>24</v>
      </c>
      <c r="J13" s="1">
        <v>0.13</v>
      </c>
    </row>
    <row r="14" spans="1:10">
      <c r="E14" t="s">
        <v>140</v>
      </c>
      <c r="G14" s="50">
        <v>16</v>
      </c>
      <c r="H14" s="50">
        <v>17.5</v>
      </c>
      <c r="I14" s="50">
        <v>22</v>
      </c>
      <c r="J14" s="1">
        <v>0.14000000000000001</v>
      </c>
    </row>
    <row r="15" spans="1:10">
      <c r="E15" t="s">
        <v>137</v>
      </c>
      <c r="G15" s="50">
        <v>16</v>
      </c>
      <c r="H15" s="50">
        <v>17.5</v>
      </c>
      <c r="I15" s="50">
        <v>22</v>
      </c>
      <c r="J15" s="1">
        <v>0.15</v>
      </c>
    </row>
    <row r="16" spans="1:10">
      <c r="E16" t="s">
        <v>138</v>
      </c>
      <c r="G16" s="50">
        <v>16</v>
      </c>
      <c r="H16" s="50">
        <v>17.5</v>
      </c>
      <c r="I16" s="50">
        <v>22</v>
      </c>
      <c r="J16" s="1">
        <v>0.16</v>
      </c>
    </row>
    <row r="17" spans="5:10">
      <c r="E17" t="s">
        <v>139</v>
      </c>
      <c r="G17" s="50">
        <v>16</v>
      </c>
      <c r="H17" s="50">
        <v>17.5</v>
      </c>
      <c r="I17" s="50">
        <v>22</v>
      </c>
      <c r="J17" s="1">
        <v>0.17</v>
      </c>
    </row>
    <row r="18" spans="5:10">
      <c r="E18" t="s">
        <v>84</v>
      </c>
      <c r="G18">
        <v>12.5</v>
      </c>
      <c r="H18">
        <v>13</v>
      </c>
      <c r="I18">
        <v>17</v>
      </c>
      <c r="J18" s="1">
        <v>0.18</v>
      </c>
    </row>
    <row r="19" spans="5:10">
      <c r="E19" t="s">
        <v>85</v>
      </c>
      <c r="G19">
        <v>12.5</v>
      </c>
      <c r="H19">
        <v>13</v>
      </c>
      <c r="I19">
        <v>17</v>
      </c>
      <c r="J19" s="1">
        <v>0.19</v>
      </c>
    </row>
    <row r="20" spans="5:10">
      <c r="E20" t="s">
        <v>86</v>
      </c>
      <c r="G20">
        <v>12.5</v>
      </c>
      <c r="H20">
        <v>13</v>
      </c>
      <c r="I20">
        <v>17</v>
      </c>
      <c r="J20" s="1">
        <v>0.2</v>
      </c>
    </row>
    <row r="21" spans="5:10">
      <c r="E21" t="s">
        <v>87</v>
      </c>
      <c r="G21">
        <v>12.5</v>
      </c>
      <c r="H21">
        <v>13</v>
      </c>
      <c r="I21">
        <v>17</v>
      </c>
      <c r="J21" s="1">
        <v>0.21</v>
      </c>
    </row>
    <row r="22" spans="5:10">
      <c r="E22" t="s">
        <v>88</v>
      </c>
      <c r="G22">
        <v>10</v>
      </c>
      <c r="H22">
        <v>10.5</v>
      </c>
      <c r="I22">
        <v>14.5</v>
      </c>
      <c r="J22" s="1">
        <v>0.22</v>
      </c>
    </row>
    <row r="23" spans="5:10">
      <c r="E23" t="s">
        <v>89</v>
      </c>
      <c r="G23">
        <v>10</v>
      </c>
      <c r="H23">
        <v>10.5</v>
      </c>
      <c r="I23">
        <v>14.5</v>
      </c>
      <c r="J23" s="1">
        <v>0.23</v>
      </c>
    </row>
    <row r="24" spans="5:10">
      <c r="E24" t="s">
        <v>90</v>
      </c>
      <c r="G24">
        <v>10</v>
      </c>
      <c r="H24">
        <v>10.5</v>
      </c>
      <c r="I24">
        <v>14.5</v>
      </c>
      <c r="J24" s="1">
        <v>0.24</v>
      </c>
    </row>
    <row r="25" spans="5:10">
      <c r="E25" t="s">
        <v>91</v>
      </c>
      <c r="G25">
        <v>10</v>
      </c>
      <c r="H25">
        <v>10.5</v>
      </c>
      <c r="I25">
        <v>14.5</v>
      </c>
      <c r="J25" s="1">
        <v>0.25</v>
      </c>
    </row>
    <row r="26" spans="5:10">
      <c r="E26" t="s">
        <v>93</v>
      </c>
      <c r="G26">
        <v>17.5</v>
      </c>
      <c r="H26">
        <v>19</v>
      </c>
      <c r="I26">
        <v>25.5</v>
      </c>
      <c r="J26" s="1">
        <v>0.26</v>
      </c>
    </row>
    <row r="27" spans="5:10">
      <c r="E27" t="s">
        <v>92</v>
      </c>
      <c r="G27">
        <v>17.5</v>
      </c>
      <c r="H27">
        <v>19</v>
      </c>
      <c r="I27">
        <v>25.5</v>
      </c>
      <c r="J27" s="1">
        <v>0.27</v>
      </c>
    </row>
    <row r="28" spans="5:10">
      <c r="E28" t="s">
        <v>94</v>
      </c>
      <c r="G28">
        <v>17.5</v>
      </c>
      <c r="H28">
        <v>19</v>
      </c>
      <c r="I28">
        <v>25.5</v>
      </c>
      <c r="J28" s="1">
        <v>0.28000000000000003</v>
      </c>
    </row>
    <row r="29" spans="5:10">
      <c r="E29" t="s">
        <v>95</v>
      </c>
      <c r="G29">
        <v>17.5</v>
      </c>
      <c r="H29">
        <v>19</v>
      </c>
      <c r="I29">
        <v>25.5</v>
      </c>
      <c r="J29" s="1">
        <v>0.28999999999999998</v>
      </c>
    </row>
    <row r="30" spans="5:10">
      <c r="E30" t="s">
        <v>131</v>
      </c>
      <c r="G30" s="50">
        <v>17.5</v>
      </c>
      <c r="H30" s="50">
        <v>19</v>
      </c>
      <c r="I30" s="50">
        <v>25.5</v>
      </c>
      <c r="J30" s="1">
        <v>0.3</v>
      </c>
    </row>
    <row r="31" spans="5:10">
      <c r="E31" t="s">
        <v>132</v>
      </c>
      <c r="G31" s="50">
        <v>17.5</v>
      </c>
      <c r="H31" s="50">
        <v>19</v>
      </c>
      <c r="I31" s="50">
        <v>25.5</v>
      </c>
      <c r="J31" s="1">
        <v>0.31</v>
      </c>
    </row>
    <row r="32" spans="5:10">
      <c r="E32" t="s">
        <v>133</v>
      </c>
      <c r="G32" s="50">
        <v>17.5</v>
      </c>
      <c r="H32" s="50">
        <v>19</v>
      </c>
      <c r="I32" s="50">
        <v>25.5</v>
      </c>
      <c r="J32" s="1">
        <v>0.32</v>
      </c>
    </row>
    <row r="33" spans="10:10">
      <c r="J33" s="1">
        <v>0.33</v>
      </c>
    </row>
    <row r="34" spans="10:10">
      <c r="J34" s="1">
        <v>0.34</v>
      </c>
    </row>
    <row r="35" spans="10:10">
      <c r="J35" s="1">
        <v>0.35</v>
      </c>
    </row>
    <row r="36" spans="10:10">
      <c r="J36" s="1">
        <v>0.36</v>
      </c>
    </row>
    <row r="37" spans="10:10">
      <c r="J37" s="1">
        <v>0.37</v>
      </c>
    </row>
    <row r="38" spans="10:10">
      <c r="J38" s="1">
        <v>0.38</v>
      </c>
    </row>
    <row r="39" spans="10:10">
      <c r="J39" s="1">
        <v>0.39</v>
      </c>
    </row>
    <row r="40" spans="10:10">
      <c r="J40" s="1">
        <v>0.4</v>
      </c>
    </row>
    <row r="41" spans="10:10">
      <c r="J41" s="1">
        <v>0.41</v>
      </c>
    </row>
    <row r="42" spans="10:10">
      <c r="J42" s="1">
        <v>0.42</v>
      </c>
    </row>
    <row r="43" spans="10:10">
      <c r="J43" s="1">
        <v>0.43</v>
      </c>
    </row>
    <row r="44" spans="10:10">
      <c r="J44" s="1">
        <v>0.44</v>
      </c>
    </row>
    <row r="45" spans="10:10">
      <c r="J45" s="1">
        <v>0.45</v>
      </c>
    </row>
    <row r="46" spans="10:10">
      <c r="J46" s="1">
        <v>0.46</v>
      </c>
    </row>
    <row r="47" spans="10:10">
      <c r="J47" s="1">
        <v>0.47</v>
      </c>
    </row>
    <row r="48" spans="10:10">
      <c r="J48" s="1">
        <v>0.48</v>
      </c>
    </row>
    <row r="49" spans="10:10">
      <c r="J49" s="1">
        <v>0.49</v>
      </c>
    </row>
    <row r="50" spans="10:10">
      <c r="J50" s="1">
        <v>0.5</v>
      </c>
    </row>
  </sheetData>
  <mergeCells count="2">
    <mergeCell ref="G1:I1"/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3"/>
  <sheetViews>
    <sheetView zoomScale="80" zoomScaleNormal="80" workbookViewId="0">
      <selection activeCell="E18" sqref="E18"/>
    </sheetView>
  </sheetViews>
  <sheetFormatPr defaultRowHeight="15"/>
  <cols>
    <col min="2" max="2" width="14.28515625" customWidth="1"/>
    <col min="3" max="3" width="36.28515625" customWidth="1"/>
    <col min="4" max="4" width="22.42578125" bestFit="1" customWidth="1"/>
    <col min="6" max="6" width="15" customWidth="1"/>
    <col min="7" max="7" width="13.140625" customWidth="1"/>
    <col min="8" max="8" width="13.5703125" customWidth="1"/>
    <col min="9" max="9" width="12.7109375" bestFit="1" customWidth="1"/>
    <col min="11" max="11" width="11.5703125" customWidth="1"/>
    <col min="16" max="16" width="11.42578125" customWidth="1"/>
    <col min="19" max="19" width="36.7109375" customWidth="1"/>
    <col min="20" max="20" width="8.5703125" bestFit="1" customWidth="1"/>
  </cols>
  <sheetData>
    <row r="1" spans="1:21" s="6" customFormat="1" ht="30">
      <c r="A1" s="6" t="s">
        <v>1</v>
      </c>
      <c r="B1" s="6" t="s">
        <v>2</v>
      </c>
      <c r="C1" s="6" t="s">
        <v>3</v>
      </c>
      <c r="D1" s="6" t="s">
        <v>4</v>
      </c>
      <c r="E1" s="6" t="s">
        <v>31</v>
      </c>
      <c r="F1" s="6" t="s">
        <v>34</v>
      </c>
      <c r="G1" s="6" t="s">
        <v>15</v>
      </c>
      <c r="H1" s="6" t="s">
        <v>16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17</v>
      </c>
      <c r="S1" s="5" t="s">
        <v>37</v>
      </c>
      <c r="T1"/>
      <c r="U1"/>
    </row>
    <row r="2" spans="1:21">
      <c r="A2" t="s">
        <v>12</v>
      </c>
      <c r="B2" t="s">
        <v>14</v>
      </c>
      <c r="C2">
        <v>434860</v>
      </c>
      <c r="D2" t="s">
        <v>120</v>
      </c>
      <c r="E2">
        <v>0.77</v>
      </c>
      <c r="F2">
        <v>17.5</v>
      </c>
      <c r="G2">
        <v>14</v>
      </c>
      <c r="H2">
        <v>17.5</v>
      </c>
      <c r="I2" t="s">
        <v>124</v>
      </c>
      <c r="J2" t="s">
        <v>13</v>
      </c>
      <c r="K2">
        <v>50000</v>
      </c>
      <c r="L2">
        <v>82</v>
      </c>
      <c r="M2">
        <v>3000</v>
      </c>
      <c r="N2">
        <v>48</v>
      </c>
      <c r="O2">
        <v>1600</v>
      </c>
      <c r="S2" t="s">
        <v>51</v>
      </c>
      <c r="T2">
        <v>65</v>
      </c>
      <c r="U2" t="s">
        <v>27</v>
      </c>
    </row>
    <row r="3" spans="1:21">
      <c r="A3" t="s">
        <v>12</v>
      </c>
      <c r="B3" t="s">
        <v>14</v>
      </c>
      <c r="C3">
        <v>434878</v>
      </c>
      <c r="D3" t="s">
        <v>121</v>
      </c>
      <c r="E3">
        <v>0.77</v>
      </c>
      <c r="F3">
        <v>17.5</v>
      </c>
      <c r="G3">
        <v>14</v>
      </c>
      <c r="H3">
        <v>17.5</v>
      </c>
      <c r="I3" t="s">
        <v>124</v>
      </c>
      <c r="J3" t="s">
        <v>13</v>
      </c>
      <c r="K3">
        <v>50000</v>
      </c>
      <c r="L3">
        <v>82</v>
      </c>
      <c r="M3">
        <v>3500</v>
      </c>
      <c r="N3">
        <v>48</v>
      </c>
      <c r="O3">
        <v>1600</v>
      </c>
      <c r="S3" t="s">
        <v>39</v>
      </c>
      <c r="T3">
        <v>3000</v>
      </c>
      <c r="U3" t="s">
        <v>40</v>
      </c>
    </row>
    <row r="4" spans="1:21">
      <c r="A4" t="s">
        <v>12</v>
      </c>
      <c r="B4" t="s">
        <v>14</v>
      </c>
      <c r="C4">
        <v>434886</v>
      </c>
      <c r="D4" t="s">
        <v>122</v>
      </c>
      <c r="E4">
        <v>0.77</v>
      </c>
      <c r="F4">
        <v>17.5</v>
      </c>
      <c r="G4">
        <v>14</v>
      </c>
      <c r="H4">
        <v>17.5</v>
      </c>
      <c r="I4" t="s">
        <v>124</v>
      </c>
      <c r="J4" t="s">
        <v>13</v>
      </c>
      <c r="K4">
        <v>50000</v>
      </c>
      <c r="L4">
        <v>82</v>
      </c>
      <c r="M4">
        <v>4000</v>
      </c>
      <c r="N4">
        <v>48</v>
      </c>
      <c r="O4">
        <v>1600</v>
      </c>
      <c r="T4">
        <f>T3*T2</f>
        <v>195000</v>
      </c>
      <c r="U4" t="s">
        <v>41</v>
      </c>
    </row>
    <row r="5" spans="1:21">
      <c r="A5" t="s">
        <v>12</v>
      </c>
      <c r="B5" t="s">
        <v>14</v>
      </c>
      <c r="C5">
        <v>434894</v>
      </c>
      <c r="D5" t="s">
        <v>123</v>
      </c>
      <c r="E5">
        <v>0.77</v>
      </c>
      <c r="F5">
        <v>17.5</v>
      </c>
      <c r="G5">
        <v>14</v>
      </c>
      <c r="H5">
        <v>17.5</v>
      </c>
      <c r="I5" t="s">
        <v>124</v>
      </c>
      <c r="J5" t="s">
        <v>13</v>
      </c>
      <c r="K5">
        <v>50000</v>
      </c>
      <c r="L5">
        <v>82</v>
      </c>
      <c r="M5">
        <v>5000</v>
      </c>
      <c r="N5">
        <v>48</v>
      </c>
      <c r="O5">
        <v>1600</v>
      </c>
      <c r="S5" t="s">
        <v>50</v>
      </c>
      <c r="T5">
        <f>T4/1000</f>
        <v>195</v>
      </c>
      <c r="U5" t="s">
        <v>43</v>
      </c>
    </row>
    <row r="6" spans="1:21">
      <c r="A6" t="s">
        <v>12</v>
      </c>
      <c r="B6" t="s">
        <v>14</v>
      </c>
      <c r="C6">
        <v>434860</v>
      </c>
      <c r="D6" t="s">
        <v>120</v>
      </c>
      <c r="E6">
        <v>0.88</v>
      </c>
      <c r="F6">
        <v>19</v>
      </c>
      <c r="G6">
        <v>16.5</v>
      </c>
      <c r="H6">
        <v>19</v>
      </c>
      <c r="I6" t="s">
        <v>124</v>
      </c>
      <c r="J6" t="s">
        <v>13</v>
      </c>
      <c r="K6">
        <v>50000</v>
      </c>
      <c r="L6">
        <v>82</v>
      </c>
      <c r="M6">
        <v>3000</v>
      </c>
      <c r="N6">
        <v>48</v>
      </c>
      <c r="O6">
        <v>1600</v>
      </c>
      <c r="S6" t="s">
        <v>44</v>
      </c>
      <c r="T6" s="8">
        <f>T5*0.11</f>
        <v>21.45</v>
      </c>
      <c r="U6" t="s">
        <v>45</v>
      </c>
    </row>
    <row r="7" spans="1:21">
      <c r="A7" t="s">
        <v>12</v>
      </c>
      <c r="B7" t="s">
        <v>14</v>
      </c>
      <c r="C7">
        <v>434878</v>
      </c>
      <c r="D7" t="s">
        <v>121</v>
      </c>
      <c r="E7">
        <v>0.88</v>
      </c>
      <c r="F7">
        <v>19</v>
      </c>
      <c r="G7">
        <v>16.5</v>
      </c>
      <c r="H7">
        <v>19</v>
      </c>
      <c r="I7" t="s">
        <v>124</v>
      </c>
      <c r="J7" t="s">
        <v>13</v>
      </c>
      <c r="K7">
        <v>50000</v>
      </c>
      <c r="L7">
        <v>82</v>
      </c>
      <c r="M7">
        <v>3500</v>
      </c>
      <c r="N7">
        <v>48</v>
      </c>
      <c r="O7">
        <v>1600</v>
      </c>
      <c r="S7" t="s">
        <v>46</v>
      </c>
      <c r="T7" s="9">
        <f>T6*100</f>
        <v>2145</v>
      </c>
      <c r="U7" t="s">
        <v>47</v>
      </c>
    </row>
    <row r="8" spans="1:21">
      <c r="A8" t="s">
        <v>12</v>
      </c>
      <c r="B8" t="s">
        <v>14</v>
      </c>
      <c r="C8">
        <v>434886</v>
      </c>
      <c r="D8" t="s">
        <v>122</v>
      </c>
      <c r="E8">
        <v>0.88</v>
      </c>
      <c r="F8">
        <v>19</v>
      </c>
      <c r="G8">
        <v>16.5</v>
      </c>
      <c r="H8">
        <v>19</v>
      </c>
      <c r="I8" t="s">
        <v>124</v>
      </c>
      <c r="J8" t="s">
        <v>13</v>
      </c>
      <c r="K8">
        <v>50000</v>
      </c>
      <c r="L8">
        <v>82</v>
      </c>
      <c r="M8">
        <v>4000</v>
      </c>
      <c r="N8">
        <v>48</v>
      </c>
      <c r="O8">
        <v>1600</v>
      </c>
    </row>
    <row r="9" spans="1:21">
      <c r="A9" t="s">
        <v>12</v>
      </c>
      <c r="B9" t="s">
        <v>14</v>
      </c>
      <c r="C9">
        <v>434894</v>
      </c>
      <c r="D9" t="s">
        <v>123</v>
      </c>
      <c r="E9">
        <v>0.88</v>
      </c>
      <c r="F9">
        <v>19</v>
      </c>
      <c r="G9">
        <v>16.5</v>
      </c>
      <c r="H9">
        <v>19</v>
      </c>
      <c r="I9" t="s">
        <v>124</v>
      </c>
      <c r="J9" t="s">
        <v>13</v>
      </c>
      <c r="K9">
        <v>50000</v>
      </c>
      <c r="L9">
        <v>82</v>
      </c>
      <c r="M9">
        <v>5000</v>
      </c>
      <c r="N9">
        <v>48</v>
      </c>
      <c r="O9">
        <v>1600</v>
      </c>
      <c r="S9" s="5" t="s">
        <v>48</v>
      </c>
    </row>
    <row r="10" spans="1:21">
      <c r="A10" t="s">
        <v>12</v>
      </c>
      <c r="B10" t="s">
        <v>14</v>
      </c>
      <c r="C10">
        <v>434860</v>
      </c>
      <c r="D10" t="s">
        <v>120</v>
      </c>
      <c r="E10">
        <v>1.18</v>
      </c>
      <c r="F10">
        <v>25.5</v>
      </c>
      <c r="G10">
        <v>21</v>
      </c>
      <c r="H10">
        <v>25.5</v>
      </c>
      <c r="I10" t="s">
        <v>124</v>
      </c>
      <c r="J10" t="s">
        <v>13</v>
      </c>
      <c r="K10">
        <v>50000</v>
      </c>
      <c r="L10">
        <v>82</v>
      </c>
      <c r="M10">
        <v>3000</v>
      </c>
      <c r="N10">
        <v>48</v>
      </c>
      <c r="O10">
        <v>1600</v>
      </c>
      <c r="S10" t="s">
        <v>38</v>
      </c>
      <c r="T10">
        <v>10.5</v>
      </c>
      <c r="U10" t="s">
        <v>27</v>
      </c>
    </row>
    <row r="11" spans="1:21">
      <c r="A11" t="s">
        <v>12</v>
      </c>
      <c r="B11" t="s">
        <v>14</v>
      </c>
      <c r="C11">
        <v>434878</v>
      </c>
      <c r="D11" t="s">
        <v>121</v>
      </c>
      <c r="E11">
        <v>1.18</v>
      </c>
      <c r="F11">
        <v>25.5</v>
      </c>
      <c r="G11">
        <v>21</v>
      </c>
      <c r="H11">
        <v>25.5</v>
      </c>
      <c r="I11" t="s">
        <v>124</v>
      </c>
      <c r="J11" t="s">
        <v>13</v>
      </c>
      <c r="K11">
        <v>50000</v>
      </c>
      <c r="L11">
        <v>82</v>
      </c>
      <c r="M11">
        <v>3500</v>
      </c>
      <c r="N11">
        <v>48</v>
      </c>
      <c r="O11">
        <v>1600</v>
      </c>
      <c r="S11" t="s">
        <v>39</v>
      </c>
      <c r="T11">
        <f>T3</f>
        <v>3000</v>
      </c>
      <c r="U11" t="s">
        <v>40</v>
      </c>
    </row>
    <row r="12" spans="1:21">
      <c r="A12" t="s">
        <v>12</v>
      </c>
      <c r="B12" t="s">
        <v>14</v>
      </c>
      <c r="C12">
        <v>434886</v>
      </c>
      <c r="D12" t="s">
        <v>122</v>
      </c>
      <c r="E12">
        <v>1.18</v>
      </c>
      <c r="F12">
        <v>25.5</v>
      </c>
      <c r="G12">
        <v>21</v>
      </c>
      <c r="H12">
        <v>25.5</v>
      </c>
      <c r="I12" t="s">
        <v>124</v>
      </c>
      <c r="J12" t="s">
        <v>13</v>
      </c>
      <c r="K12">
        <v>50000</v>
      </c>
      <c r="L12">
        <v>82</v>
      </c>
      <c r="M12">
        <v>4000</v>
      </c>
      <c r="N12">
        <v>48</v>
      </c>
      <c r="O12">
        <v>1600</v>
      </c>
      <c r="T12">
        <f>T11*T10</f>
        <v>31500</v>
      </c>
      <c r="U12" t="s">
        <v>41</v>
      </c>
    </row>
    <row r="13" spans="1:21">
      <c r="A13" t="s">
        <v>12</v>
      </c>
      <c r="B13" t="s">
        <v>14</v>
      </c>
      <c r="C13">
        <v>434894</v>
      </c>
      <c r="D13" t="s">
        <v>123</v>
      </c>
      <c r="E13">
        <v>1.18</v>
      </c>
      <c r="F13">
        <v>25.5</v>
      </c>
      <c r="G13">
        <v>21</v>
      </c>
      <c r="H13">
        <v>25.5</v>
      </c>
      <c r="I13" t="s">
        <v>124</v>
      </c>
      <c r="J13" t="s">
        <v>13</v>
      </c>
      <c r="K13">
        <v>50000</v>
      </c>
      <c r="L13">
        <v>82</v>
      </c>
      <c r="M13">
        <v>5000</v>
      </c>
      <c r="N13">
        <v>48</v>
      </c>
      <c r="O13">
        <v>1600</v>
      </c>
      <c r="S13" t="s">
        <v>42</v>
      </c>
      <c r="T13">
        <f>T12/1000</f>
        <v>31.5</v>
      </c>
      <c r="U13" t="s">
        <v>43</v>
      </c>
    </row>
    <row r="14" spans="1:21">
      <c r="A14" t="s">
        <v>12</v>
      </c>
      <c r="B14" t="s">
        <v>14</v>
      </c>
      <c r="C14">
        <v>453589</v>
      </c>
      <c r="D14" t="s">
        <v>116</v>
      </c>
      <c r="E14">
        <v>0.77</v>
      </c>
      <c r="F14">
        <v>12.5</v>
      </c>
      <c r="G14">
        <v>10.5</v>
      </c>
      <c r="H14">
        <v>12.5</v>
      </c>
      <c r="I14" t="s">
        <v>124</v>
      </c>
      <c r="J14" t="s">
        <v>13</v>
      </c>
      <c r="K14">
        <v>50000</v>
      </c>
      <c r="L14">
        <v>82</v>
      </c>
      <c r="M14">
        <v>3000</v>
      </c>
      <c r="N14">
        <v>48</v>
      </c>
      <c r="O14">
        <v>1600</v>
      </c>
    </row>
    <row r="15" spans="1:21">
      <c r="A15" t="s">
        <v>12</v>
      </c>
      <c r="B15" t="s">
        <v>14</v>
      </c>
      <c r="C15">
        <v>453597</v>
      </c>
      <c r="D15" t="s">
        <v>117</v>
      </c>
      <c r="E15">
        <v>0.77</v>
      </c>
      <c r="F15">
        <v>12.5</v>
      </c>
      <c r="G15">
        <v>10.5</v>
      </c>
      <c r="H15">
        <v>12.5</v>
      </c>
      <c r="I15" t="s">
        <v>124</v>
      </c>
      <c r="J15" t="s">
        <v>13</v>
      </c>
      <c r="K15">
        <v>50000</v>
      </c>
      <c r="L15">
        <v>82</v>
      </c>
      <c r="M15">
        <v>3500</v>
      </c>
      <c r="N15">
        <v>48</v>
      </c>
      <c r="O15">
        <v>1600</v>
      </c>
    </row>
    <row r="16" spans="1:21">
      <c r="A16" t="s">
        <v>12</v>
      </c>
      <c r="B16" t="s">
        <v>14</v>
      </c>
      <c r="C16">
        <v>453605</v>
      </c>
      <c r="D16" t="s">
        <v>118</v>
      </c>
      <c r="E16">
        <v>0.77</v>
      </c>
      <c r="F16">
        <v>12.5</v>
      </c>
      <c r="G16">
        <v>10.5</v>
      </c>
      <c r="H16">
        <v>12.5</v>
      </c>
      <c r="I16" t="s">
        <v>124</v>
      </c>
      <c r="J16" t="s">
        <v>13</v>
      </c>
      <c r="K16">
        <v>50000</v>
      </c>
      <c r="L16">
        <v>82</v>
      </c>
      <c r="M16">
        <v>4000</v>
      </c>
      <c r="N16">
        <v>48</v>
      </c>
      <c r="O16">
        <v>1600</v>
      </c>
    </row>
    <row r="17" spans="1:21">
      <c r="A17" t="s">
        <v>12</v>
      </c>
      <c r="B17" t="s">
        <v>14</v>
      </c>
      <c r="C17">
        <v>453613</v>
      </c>
      <c r="D17" t="s">
        <v>119</v>
      </c>
      <c r="E17">
        <v>0.77</v>
      </c>
      <c r="F17">
        <v>12.5</v>
      </c>
      <c r="G17">
        <v>10.5</v>
      </c>
      <c r="H17">
        <v>12.5</v>
      </c>
      <c r="I17" t="s">
        <v>124</v>
      </c>
      <c r="J17" t="s">
        <v>13</v>
      </c>
      <c r="K17">
        <v>50000</v>
      </c>
      <c r="L17">
        <v>82</v>
      </c>
      <c r="M17">
        <v>5000</v>
      </c>
      <c r="N17">
        <v>48</v>
      </c>
      <c r="O17">
        <v>1600</v>
      </c>
    </row>
    <row r="18" spans="1:21">
      <c r="A18" t="s">
        <v>12</v>
      </c>
      <c r="B18" t="s">
        <v>14</v>
      </c>
      <c r="C18">
        <v>453589</v>
      </c>
      <c r="D18" t="s">
        <v>116</v>
      </c>
      <c r="E18">
        <v>0.88</v>
      </c>
      <c r="F18">
        <v>14.5</v>
      </c>
      <c r="G18">
        <v>12</v>
      </c>
      <c r="H18">
        <v>14.5</v>
      </c>
      <c r="I18" t="s">
        <v>124</v>
      </c>
      <c r="J18" t="s">
        <v>13</v>
      </c>
      <c r="K18">
        <v>50000</v>
      </c>
      <c r="L18">
        <v>82</v>
      </c>
      <c r="M18">
        <v>3000</v>
      </c>
      <c r="N18">
        <v>48</v>
      </c>
      <c r="O18">
        <v>1600</v>
      </c>
    </row>
    <row r="19" spans="1:21">
      <c r="A19" t="s">
        <v>12</v>
      </c>
      <c r="B19" t="s">
        <v>14</v>
      </c>
      <c r="C19">
        <v>453597</v>
      </c>
      <c r="D19" t="s">
        <v>117</v>
      </c>
      <c r="E19">
        <v>0.88</v>
      </c>
      <c r="F19">
        <v>14.5</v>
      </c>
      <c r="G19">
        <v>12</v>
      </c>
      <c r="H19">
        <v>14.5</v>
      </c>
      <c r="I19" t="s">
        <v>124</v>
      </c>
      <c r="J19" t="s">
        <v>13</v>
      </c>
      <c r="K19">
        <v>50000</v>
      </c>
      <c r="L19">
        <v>82</v>
      </c>
      <c r="M19">
        <v>3500</v>
      </c>
      <c r="N19">
        <v>48</v>
      </c>
      <c r="O19">
        <v>1600</v>
      </c>
    </row>
    <row r="20" spans="1:21">
      <c r="A20" t="s">
        <v>12</v>
      </c>
      <c r="B20" t="s">
        <v>14</v>
      </c>
      <c r="C20">
        <v>453605</v>
      </c>
      <c r="D20" t="s">
        <v>118</v>
      </c>
      <c r="E20">
        <v>0.88</v>
      </c>
      <c r="F20">
        <v>14.5</v>
      </c>
      <c r="G20">
        <v>12</v>
      </c>
      <c r="H20">
        <v>14.5</v>
      </c>
      <c r="I20" t="s">
        <v>124</v>
      </c>
      <c r="J20" t="s">
        <v>13</v>
      </c>
      <c r="K20">
        <v>50000</v>
      </c>
      <c r="L20">
        <v>82</v>
      </c>
      <c r="M20">
        <v>4000</v>
      </c>
      <c r="N20">
        <v>48</v>
      </c>
      <c r="O20">
        <v>1600</v>
      </c>
    </row>
    <row r="21" spans="1:21">
      <c r="A21" t="s">
        <v>12</v>
      </c>
      <c r="B21" t="s">
        <v>14</v>
      </c>
      <c r="C21">
        <v>453613</v>
      </c>
      <c r="D21" t="s">
        <v>119</v>
      </c>
      <c r="E21">
        <v>0.88</v>
      </c>
      <c r="F21">
        <v>14.5</v>
      </c>
      <c r="G21">
        <v>12</v>
      </c>
      <c r="H21">
        <v>14.5</v>
      </c>
      <c r="I21" t="s">
        <v>124</v>
      </c>
      <c r="J21" t="s">
        <v>13</v>
      </c>
      <c r="K21">
        <v>50000</v>
      </c>
      <c r="L21">
        <v>82</v>
      </c>
      <c r="M21">
        <v>5000</v>
      </c>
      <c r="N21">
        <v>48</v>
      </c>
      <c r="O21">
        <v>1600</v>
      </c>
    </row>
    <row r="22" spans="1:21">
      <c r="A22" t="s">
        <v>12</v>
      </c>
      <c r="B22" t="s">
        <v>14</v>
      </c>
      <c r="C22">
        <v>453589</v>
      </c>
      <c r="D22" t="s">
        <v>116</v>
      </c>
      <c r="E22">
        <v>1.18</v>
      </c>
      <c r="F22">
        <v>18.5</v>
      </c>
      <c r="G22">
        <v>14.5</v>
      </c>
      <c r="H22">
        <v>18.5</v>
      </c>
      <c r="I22" t="s">
        <v>124</v>
      </c>
      <c r="J22" t="s">
        <v>13</v>
      </c>
      <c r="K22">
        <v>50000</v>
      </c>
      <c r="L22">
        <v>82</v>
      </c>
      <c r="M22">
        <v>3000</v>
      </c>
      <c r="N22">
        <v>48</v>
      </c>
      <c r="O22">
        <v>1600</v>
      </c>
    </row>
    <row r="23" spans="1:21">
      <c r="A23" t="s">
        <v>12</v>
      </c>
      <c r="B23" t="s">
        <v>14</v>
      </c>
      <c r="C23">
        <v>453597</v>
      </c>
      <c r="D23" t="s">
        <v>117</v>
      </c>
      <c r="E23">
        <v>1.18</v>
      </c>
      <c r="F23">
        <v>18.5</v>
      </c>
      <c r="G23">
        <v>14.5</v>
      </c>
      <c r="H23">
        <v>18.5</v>
      </c>
      <c r="I23" t="s">
        <v>124</v>
      </c>
      <c r="J23" t="s">
        <v>13</v>
      </c>
      <c r="K23">
        <v>50000</v>
      </c>
      <c r="L23">
        <v>82</v>
      </c>
      <c r="M23">
        <v>3500</v>
      </c>
      <c r="N23">
        <v>48</v>
      </c>
      <c r="O23">
        <v>1600</v>
      </c>
    </row>
    <row r="24" spans="1:21">
      <c r="A24" t="s">
        <v>12</v>
      </c>
      <c r="B24" t="s">
        <v>14</v>
      </c>
      <c r="C24">
        <v>453605</v>
      </c>
      <c r="D24" t="s">
        <v>118</v>
      </c>
      <c r="E24">
        <v>1.18</v>
      </c>
      <c r="F24">
        <v>18.5</v>
      </c>
      <c r="G24">
        <v>14.5</v>
      </c>
      <c r="H24">
        <v>18.5</v>
      </c>
      <c r="I24" t="s">
        <v>124</v>
      </c>
      <c r="J24" t="s">
        <v>13</v>
      </c>
      <c r="K24">
        <v>50000</v>
      </c>
      <c r="L24">
        <v>82</v>
      </c>
      <c r="M24">
        <v>4000</v>
      </c>
      <c r="N24">
        <v>48</v>
      </c>
      <c r="O24">
        <v>1600</v>
      </c>
    </row>
    <row r="25" spans="1:21">
      <c r="A25" t="s">
        <v>12</v>
      </c>
      <c r="B25" t="s">
        <v>14</v>
      </c>
      <c r="C25">
        <v>453613</v>
      </c>
      <c r="D25" t="s">
        <v>119</v>
      </c>
      <c r="E25">
        <v>1.18</v>
      </c>
      <c r="F25">
        <v>18.5</v>
      </c>
      <c r="G25">
        <v>14.5</v>
      </c>
      <c r="H25">
        <v>18.5</v>
      </c>
      <c r="I25" t="s">
        <v>124</v>
      </c>
      <c r="J25" t="s">
        <v>13</v>
      </c>
      <c r="K25">
        <v>50000</v>
      </c>
      <c r="L25">
        <v>82</v>
      </c>
      <c r="M25">
        <v>5000</v>
      </c>
      <c r="N25">
        <v>48</v>
      </c>
      <c r="O25">
        <v>1600</v>
      </c>
    </row>
    <row r="26" spans="1:21">
      <c r="A26" t="s">
        <v>12</v>
      </c>
      <c r="B26" t="s">
        <v>14</v>
      </c>
    </row>
    <row r="27" spans="1:21">
      <c r="A27" t="s">
        <v>12</v>
      </c>
      <c r="B27" t="s">
        <v>14</v>
      </c>
    </row>
    <row r="28" spans="1:21">
      <c r="A28" t="s">
        <v>12</v>
      </c>
      <c r="B28" t="s">
        <v>14</v>
      </c>
    </row>
    <row r="29" spans="1:21">
      <c r="A29" t="s">
        <v>12</v>
      </c>
      <c r="B29" t="s">
        <v>14</v>
      </c>
    </row>
    <row r="30" spans="1:21">
      <c r="A30" t="s">
        <v>12</v>
      </c>
      <c r="B30" t="s">
        <v>14</v>
      </c>
    </row>
    <row r="31" spans="1:21">
      <c r="A31" t="s">
        <v>35</v>
      </c>
      <c r="B31" t="s">
        <v>35</v>
      </c>
      <c r="C31" t="s">
        <v>26</v>
      </c>
      <c r="E31">
        <v>0.77</v>
      </c>
      <c r="F31" s="7">
        <f>E31*G31</f>
        <v>19.25</v>
      </c>
      <c r="G31">
        <v>25</v>
      </c>
      <c r="S31" t="s">
        <v>44</v>
      </c>
      <c r="T31" s="8">
        <f>T13*0.11</f>
        <v>3.4649999999999999</v>
      </c>
      <c r="U31" t="s">
        <v>45</v>
      </c>
    </row>
    <row r="32" spans="1:21">
      <c r="A32" t="s">
        <v>35</v>
      </c>
      <c r="B32" t="s">
        <v>35</v>
      </c>
      <c r="C32" t="s">
        <v>25</v>
      </c>
      <c r="E32">
        <v>0.77</v>
      </c>
      <c r="F32" s="7">
        <f t="shared" ref="F32:F39" si="0">E32*G32</f>
        <v>21.560000000000002</v>
      </c>
      <c r="G32">
        <v>28</v>
      </c>
      <c r="S32" t="s">
        <v>46</v>
      </c>
      <c r="T32" s="9">
        <f>T31*100</f>
        <v>346.5</v>
      </c>
      <c r="U32" t="s">
        <v>47</v>
      </c>
    </row>
    <row r="33" spans="1:20">
      <c r="A33" t="s">
        <v>35</v>
      </c>
      <c r="B33" t="s">
        <v>35</v>
      </c>
      <c r="C33" t="s">
        <v>24</v>
      </c>
      <c r="E33">
        <v>0.77</v>
      </c>
      <c r="F33" s="7">
        <f t="shared" si="0"/>
        <v>24.64</v>
      </c>
      <c r="G33">
        <v>32</v>
      </c>
    </row>
    <row r="34" spans="1:20">
      <c r="A34" t="s">
        <v>35</v>
      </c>
      <c r="B34" t="s">
        <v>35</v>
      </c>
      <c r="C34" t="s">
        <v>26</v>
      </c>
      <c r="E34">
        <v>0.88</v>
      </c>
      <c r="F34" s="7">
        <f t="shared" si="0"/>
        <v>22</v>
      </c>
      <c r="G34">
        <v>25</v>
      </c>
      <c r="S34" t="s">
        <v>49</v>
      </c>
      <c r="T34" s="10">
        <f>T7-T32</f>
        <v>1798.5</v>
      </c>
    </row>
    <row r="35" spans="1:20">
      <c r="A35" t="s">
        <v>35</v>
      </c>
      <c r="B35" t="s">
        <v>35</v>
      </c>
      <c r="C35" t="s">
        <v>25</v>
      </c>
      <c r="E35">
        <v>0.88</v>
      </c>
      <c r="F35" s="7">
        <f t="shared" si="0"/>
        <v>24.64</v>
      </c>
      <c r="G35">
        <v>28</v>
      </c>
    </row>
    <row r="36" spans="1:20">
      <c r="A36" t="s">
        <v>35</v>
      </c>
      <c r="B36" t="s">
        <v>35</v>
      </c>
      <c r="C36" t="s">
        <v>24</v>
      </c>
      <c r="E36">
        <v>0.88</v>
      </c>
      <c r="F36" s="7">
        <f t="shared" si="0"/>
        <v>28.16</v>
      </c>
      <c r="G36">
        <v>32</v>
      </c>
    </row>
    <row r="37" spans="1:20">
      <c r="A37" t="s">
        <v>35</v>
      </c>
      <c r="B37" t="s">
        <v>35</v>
      </c>
      <c r="C37" t="s">
        <v>26</v>
      </c>
      <c r="E37">
        <v>1.18</v>
      </c>
      <c r="F37" s="7">
        <f t="shared" si="0"/>
        <v>29.5</v>
      </c>
      <c r="G37">
        <v>25</v>
      </c>
    </row>
    <row r="38" spans="1:20">
      <c r="A38" t="s">
        <v>35</v>
      </c>
      <c r="B38" t="s">
        <v>35</v>
      </c>
      <c r="C38" t="s">
        <v>25</v>
      </c>
      <c r="E38">
        <v>1.18</v>
      </c>
      <c r="F38" s="7">
        <f t="shared" si="0"/>
        <v>33.04</v>
      </c>
      <c r="G38">
        <v>28</v>
      </c>
    </row>
    <row r="39" spans="1:20">
      <c r="A39" t="s">
        <v>35</v>
      </c>
      <c r="B39" t="s">
        <v>35</v>
      </c>
      <c r="C39" t="s">
        <v>24</v>
      </c>
      <c r="E39">
        <v>1.18</v>
      </c>
      <c r="F39" s="7">
        <f t="shared" si="0"/>
        <v>37.76</v>
      </c>
      <c r="G39">
        <v>32</v>
      </c>
    </row>
    <row r="43" spans="1:20">
      <c r="A43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4"/>
  <sheetViews>
    <sheetView workbookViewId="0">
      <selection activeCell="D9" sqref="D9"/>
    </sheetView>
  </sheetViews>
  <sheetFormatPr defaultRowHeight="15"/>
  <cols>
    <col min="1" max="1" width="9.7109375" bestFit="1" customWidth="1"/>
    <col min="2" max="2" width="75.42578125" style="6" customWidth="1"/>
  </cols>
  <sheetData>
    <row r="1" spans="1:4">
      <c r="A1" t="s">
        <v>75</v>
      </c>
      <c r="B1" s="6" t="s">
        <v>76</v>
      </c>
      <c r="C1" t="s">
        <v>77</v>
      </c>
      <c r="D1" t="s">
        <v>79</v>
      </c>
    </row>
    <row r="2" spans="1:4" ht="75">
      <c r="A2" s="45">
        <v>41808</v>
      </c>
      <c r="B2" s="6" t="s">
        <v>108</v>
      </c>
      <c r="C2" t="s">
        <v>78</v>
      </c>
      <c r="D2">
        <v>1.1000000000000001</v>
      </c>
    </row>
    <row r="3" spans="1:4">
      <c r="A3" s="45">
        <v>42083</v>
      </c>
      <c r="B3" s="6" t="s">
        <v>129</v>
      </c>
      <c r="C3" t="s">
        <v>78</v>
      </c>
      <c r="D3">
        <v>2.1</v>
      </c>
    </row>
    <row r="4" spans="1:4">
      <c r="A4" s="45">
        <v>42083</v>
      </c>
      <c r="B4" s="6" t="s">
        <v>134</v>
      </c>
      <c r="C4" t="s">
        <v>78</v>
      </c>
      <c r="D4" s="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NOTES</vt:lpstr>
      <vt:lpstr>Directions for Use</vt:lpstr>
      <vt:lpstr>TLED PAYBACK CALC</vt:lpstr>
      <vt:lpstr>Pull-Down</vt:lpstr>
      <vt:lpstr>TLED Info</vt:lpstr>
      <vt:lpstr>Changes</vt:lpstr>
      <vt:lpstr>'TLED PAYBACK CALC'!Print_Area</vt:lpstr>
    </vt:vector>
  </TitlesOfParts>
  <Company>Philips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Philips</dc:creator>
  <cp:lastModifiedBy>Brian Vedder</cp:lastModifiedBy>
  <cp:lastPrinted>2014-06-18T14:50:23Z</cp:lastPrinted>
  <dcterms:created xsi:type="dcterms:W3CDTF">2013-06-14T19:00:00Z</dcterms:created>
  <dcterms:modified xsi:type="dcterms:W3CDTF">2015-08-27T02:22:00Z</dcterms:modified>
</cp:coreProperties>
</file>